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727"/>
  <workbookPr defaultThemeVersion="124226"/>
  <bookViews>
    <workbookView xWindow="1170" yWindow="90" windowWidth="20955" windowHeight="15510" tabRatio="601" activeTab="2"/>
  </bookViews>
  <sheets>
    <sheet name="ИНП" sheetId="40" r:id="rId1"/>
    <sheet name="ИБР" sheetId="37" r:id="rId2"/>
    <sheet name="Дотация " sheetId="39" r:id="rId3"/>
    <sheet name="Лист1" sheetId="41" r:id="rId4"/>
    <sheet name="24" sheetId="34" state="hidden" r:id="rId5"/>
    <sheet name="28" sheetId="32" state="hidden" r:id="rId6"/>
    <sheet name="41" sheetId="36" state="hidden" r:id="rId7"/>
  </sheets>
  <externalReferences>
    <externalReference r:id="rId10"/>
    <externalReference r:id="rId11"/>
  </externalReferences>
  <definedNames>
    <definedName name="Choice">'[1]Вспомогательный'!$A$18:$B$18</definedName>
    <definedName name="Data1" localSheetId="4">#REF!</definedName>
    <definedName name="Data1" localSheetId="5">#REF!</definedName>
    <definedName name="Data1" localSheetId="6">#REF!</definedName>
    <definedName name="Data1" localSheetId="2">#REF!</definedName>
    <definedName name="Data1">#REF!</definedName>
    <definedName name="Data2" localSheetId="4">#REF!</definedName>
    <definedName name="Data2" localSheetId="5">#REF!</definedName>
    <definedName name="Data2" localSheetId="6">#REF!</definedName>
    <definedName name="Data2" localSheetId="2">#REF!</definedName>
    <definedName name="Data2">#REF!</definedName>
    <definedName name="Data3" localSheetId="4">#REF!</definedName>
    <definedName name="Data3" localSheetId="5">#REF!</definedName>
    <definedName name="Data3" localSheetId="6">#REF!</definedName>
    <definedName name="Data3" localSheetId="2">#REF!</definedName>
    <definedName name="Data3">#REF!</definedName>
    <definedName name="Economy1" localSheetId="4">#REF!</definedName>
    <definedName name="Economy1" localSheetId="5">#REF!</definedName>
    <definedName name="Economy1" localSheetId="6">#REF!</definedName>
    <definedName name="Economy1" localSheetId="2">#REF!</definedName>
    <definedName name="Economy1">#REF!</definedName>
    <definedName name="Economy2" localSheetId="4">#REF!</definedName>
    <definedName name="Economy2" localSheetId="5">#REF!</definedName>
    <definedName name="Economy2" localSheetId="6">#REF!</definedName>
    <definedName name="Economy2" localSheetId="2">#REF!</definedName>
    <definedName name="Economy2">#REF!</definedName>
    <definedName name="index">'[2]Вспомогательный'!$A$2:$A$3</definedName>
    <definedName name="Subsidy">'[2]Вспомогательный'!$J$33:$J$34</definedName>
    <definedName name="taxes" localSheetId="4">#REF!</definedName>
    <definedName name="taxes" localSheetId="5">#REF!</definedName>
    <definedName name="taxes" localSheetId="6">#REF!</definedName>
    <definedName name="taxes" localSheetId="2">#REF!</definedName>
    <definedName name="taxes">#REF!</definedName>
    <definedName name="_xlnm.Print_Area" localSheetId="4">'24'!$A$1:$H$27</definedName>
    <definedName name="_xlnm.Print_Area" localSheetId="5">'28'!$A$1:$H$38</definedName>
    <definedName name="_xlnm.Print_Area" localSheetId="6">'41'!$A$1:$G$40</definedName>
    <definedName name="_xlnm.Print_Area" localSheetId="0">'ИНП'!$A$1:$AI$18</definedName>
  </definedNames>
  <calcPr calcId="181029"/>
  <extLst/>
</workbook>
</file>

<file path=xl/comments3.xml><?xml version="1.0" encoding="utf-8"?>
<comments xmlns="http://schemas.openxmlformats.org/spreadsheetml/2006/main">
  <authors>
    <author>comp20</author>
  </authors>
  <commentList>
    <comment ref="I3" authorId="0">
      <text>
        <r>
          <rPr>
            <b/>
            <sz val="9"/>
            <rFont val="Tahoma"/>
            <family val="2"/>
          </rPr>
          <t>comp20:</t>
        </r>
        <r>
          <rPr>
            <sz val="9"/>
            <rFont val="Tahoma"/>
            <family val="2"/>
          </rPr>
          <t xml:space="preserve">
Доводим до уровня БО Преображенского МО</t>
        </r>
      </text>
    </comment>
    <comment ref="J3" authorId="0">
      <text>
        <r>
          <rPr>
            <b/>
            <sz val="9"/>
            <rFont val="Tahoma"/>
            <family val="2"/>
          </rPr>
          <t>comp20:</t>
        </r>
        <r>
          <rPr>
            <sz val="9"/>
            <rFont val="Tahoma"/>
            <family val="2"/>
          </rPr>
          <t xml:space="preserve">
Доводим до уровня БО Преображенского МО</t>
        </r>
      </text>
    </comment>
    <comment ref="K3" authorId="0">
      <text>
        <r>
          <rPr>
            <b/>
            <sz val="9"/>
            <rFont val="Tahoma"/>
            <family val="2"/>
          </rPr>
          <t>comp20:</t>
        </r>
        <r>
          <rPr>
            <sz val="9"/>
            <rFont val="Tahoma"/>
            <family val="2"/>
          </rPr>
          <t xml:space="preserve">
Доводим до уровня БО Преображенского МО</t>
        </r>
      </text>
    </comment>
    <comment ref="I10" authorId="0">
      <text>
        <r>
          <rPr>
            <b/>
            <sz val="9"/>
            <rFont val="Tahoma"/>
            <family val="2"/>
          </rPr>
          <t>comp20:</t>
        </r>
        <r>
          <rPr>
            <sz val="9"/>
            <rFont val="Tahoma"/>
            <family val="2"/>
          </rPr>
          <t xml:space="preserve">
дотации нет БО Преображенки отправной</t>
        </r>
      </text>
    </comment>
    <comment ref="H16" authorId="0">
      <text>
        <r>
          <rPr>
            <b/>
            <sz val="9"/>
            <rFont val="Tahoma"/>
            <family val="2"/>
          </rPr>
          <t>comp20:</t>
        </r>
        <r>
          <rPr>
            <sz val="9"/>
            <rFont val="Tahoma"/>
            <family val="2"/>
          </rPr>
          <t xml:space="preserve">
в расчете не участвуют так как профицит расчетный</t>
        </r>
      </text>
    </comment>
  </commentList>
</comments>
</file>

<file path=xl/sharedStrings.xml><?xml version="1.0" encoding="utf-8"?>
<sst xmlns="http://schemas.openxmlformats.org/spreadsheetml/2006/main" count="268" uniqueCount="160">
  <si>
    <t>№</t>
  </si>
  <si>
    <t>Итого по поселениям</t>
  </si>
  <si>
    <t>Индекс расходов бюджета</t>
  </si>
  <si>
    <t>Численность постоянного населения</t>
  </si>
  <si>
    <t>Ячейки, выделенные цветом заполняются районом самостоятельно</t>
  </si>
  <si>
    <t>Наименования поселений</t>
  </si>
  <si>
    <r>
      <t>а</t>
    </r>
    <r>
      <rPr>
        <b/>
        <vertAlign val="subscript"/>
        <sz val="18"/>
        <color rgb="FF0000FF"/>
        <rFont val="Times New Roman"/>
        <family val="1"/>
      </rPr>
      <t>1</t>
    </r>
  </si>
  <si>
    <r>
      <t>а</t>
    </r>
    <r>
      <rPr>
        <b/>
        <vertAlign val="subscript"/>
        <sz val="18"/>
        <color rgb="FF0000FF"/>
        <rFont val="Times New Roman"/>
        <family val="1"/>
      </rPr>
      <t>2</t>
    </r>
  </si>
  <si>
    <r>
      <t>а</t>
    </r>
    <r>
      <rPr>
        <b/>
        <vertAlign val="subscript"/>
        <sz val="18"/>
        <color rgb="FF0000FF"/>
        <rFont val="Times New Roman"/>
        <family val="1"/>
      </rPr>
      <t>3</t>
    </r>
  </si>
  <si>
    <t>Лишние строки по поселениям удалите с конца списка</t>
  </si>
  <si>
    <r>
      <t>а</t>
    </r>
    <r>
      <rPr>
        <b/>
        <vertAlign val="subscript"/>
        <sz val="18"/>
        <color rgb="FF0000FF"/>
        <rFont val="Times New Roman"/>
        <family val="1"/>
      </rPr>
      <t>4</t>
    </r>
  </si>
  <si>
    <t>28 Березовское с.п.</t>
  </si>
  <si>
    <t>28 Бирюсинское г.п.</t>
  </si>
  <si>
    <t>28 Бирюсинское с.п.</t>
  </si>
  <si>
    <t>28 Борисовское с.п.</t>
  </si>
  <si>
    <t>28 Бузыкановское с.п.</t>
  </si>
  <si>
    <t>28 Венгерское с.п.</t>
  </si>
  <si>
    <t>28 Джогинское с.п.</t>
  </si>
  <si>
    <t>28 Зареченское с.п.</t>
  </si>
  <si>
    <t>28 Квитокское г.п.</t>
  </si>
  <si>
    <t>28 Мирнинское с.п.</t>
  </si>
  <si>
    <t>28 Нижнезаимское с.п.</t>
  </si>
  <si>
    <t>28 Николаевское с.п.</t>
  </si>
  <si>
    <t>28 Новобирюсинское г.п.</t>
  </si>
  <si>
    <t>28 Полинчетское с.п.</t>
  </si>
  <si>
    <t>28 Половино-Черемховское с.п.</t>
  </si>
  <si>
    <t>28 Разгонское с.п.</t>
  </si>
  <si>
    <t>28 Рождественское с.п.</t>
  </si>
  <si>
    <t>28 Соляновское с.п.</t>
  </si>
  <si>
    <t>28 Старо-Акульшетское с.п.</t>
  </si>
  <si>
    <t>28 Тайшетское г.п.</t>
  </si>
  <si>
    <t>28 Тальское с.п.</t>
  </si>
  <si>
    <t>28 Тамтачетское с.п.</t>
  </si>
  <si>
    <t>28 Тимирязевское с.п.</t>
  </si>
  <si>
    <t>28 Черчетское с.п.</t>
  </si>
  <si>
    <t>28 Шелаевское с.п.</t>
  </si>
  <si>
    <t>28 Шелеховское с.п.</t>
  </si>
  <si>
    <t>28 Шиткинское г.п.</t>
  </si>
  <si>
    <t>28 Юртинское г.п.</t>
  </si>
  <si>
    <r>
      <t xml:space="preserve">Оценка расходов поселений на содержание </t>
    </r>
    <r>
      <rPr>
        <b/>
        <sz val="12"/>
        <rFont val="Times New Roman"/>
        <family val="1"/>
      </rPr>
      <t>ОМСУ</t>
    </r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</si>
  <si>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</rPr>
      <t>культуры</t>
    </r>
  </si>
  <si>
    <r>
      <t xml:space="preserve">Оценка расходов поселений на реализацию ВМЗ по </t>
    </r>
    <r>
      <rPr>
        <b/>
        <sz val="12"/>
        <rFont val="Times New Roman"/>
        <family val="1"/>
      </rPr>
      <t>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</si>
  <si>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1"/>
        <rFont val="Times New Roman"/>
        <family val="1"/>
      </rPr>
      <t>электро-, тепло-</t>
    </r>
    <r>
      <rPr>
        <sz val="11"/>
        <rFont val="Times New Roman"/>
        <family val="1"/>
      </rPr>
      <t>...</t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</si>
  <si>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color rgb="FF0000FF"/>
        <rFont val="Times New Roman"/>
        <family val="1"/>
      </rPr>
      <t xml:space="preserve"> а</t>
    </r>
    <r>
      <rPr>
        <b/>
        <vertAlign val="subscript"/>
        <sz val="14"/>
        <color rgb="FF0000FF"/>
        <rFont val="Times New Roman"/>
        <family val="1"/>
      </rPr>
      <t>1</t>
    </r>
    <r>
      <rPr>
        <b/>
        <sz val="14"/>
        <color rgb="FF0000FF"/>
        <rFont val="Times New Roman"/>
        <family val="1"/>
      </rPr>
      <t>+а</t>
    </r>
    <r>
      <rPr>
        <b/>
        <vertAlign val="subscript"/>
        <sz val="14"/>
        <color rgb="FF0000FF"/>
        <rFont val="Times New Roman"/>
        <family val="1"/>
      </rPr>
      <t>2</t>
    </r>
    <r>
      <rPr>
        <b/>
        <sz val="14"/>
        <color rgb="FF0000FF"/>
        <rFont val="Times New Roman"/>
        <family val="1"/>
      </rPr>
      <t>+а</t>
    </r>
    <r>
      <rPr>
        <b/>
        <vertAlign val="subscript"/>
        <sz val="14"/>
        <color rgb="FF0000FF"/>
        <rFont val="Times New Roman"/>
        <family val="1"/>
      </rPr>
      <t>3</t>
    </r>
    <r>
      <rPr>
        <b/>
        <sz val="14"/>
        <color rgb="FF0000FF"/>
        <rFont val="Times New Roman"/>
        <family val="1"/>
      </rPr>
      <t>+а</t>
    </r>
    <r>
      <rPr>
        <b/>
        <vertAlign val="subscript"/>
        <sz val="14"/>
        <color rgb="FF0000FF"/>
        <rFont val="Times New Roman"/>
        <family val="1"/>
      </rPr>
      <t>4</t>
    </r>
    <r>
      <rPr>
        <b/>
        <sz val="14"/>
        <color rgb="FF0000FF"/>
        <rFont val="Times New Roman"/>
        <family val="1"/>
      </rPr>
      <t>=1</t>
    </r>
  </si>
  <si>
    <r>
      <t>ИБР=(а</t>
    </r>
    <r>
      <rPr>
        <b/>
        <vertAlign val="subscript"/>
        <sz val="20"/>
        <color rgb="FF0000FF"/>
        <rFont val="Times New Roman"/>
        <family val="1"/>
      </rPr>
      <t>1</t>
    </r>
    <r>
      <rPr>
        <b/>
        <sz val="20"/>
        <color rgb="FF0000FF"/>
        <rFont val="Times New Roman"/>
        <family val="1"/>
      </rPr>
      <t>*</t>
    </r>
    <r>
      <rPr>
        <b/>
        <sz val="20"/>
        <color rgb="FFFF0000"/>
        <rFont val="Times New Roman"/>
        <family val="1"/>
      </rPr>
      <t>Р</t>
    </r>
    <r>
      <rPr>
        <b/>
        <vertAlign val="superscript"/>
        <sz val="20"/>
        <color rgb="FFFF0000"/>
        <rFont val="Times New Roman"/>
        <family val="1"/>
      </rPr>
      <t>ОМСУ</t>
    </r>
    <r>
      <rPr>
        <b/>
        <sz val="20"/>
        <color rgb="FF0000FF"/>
        <rFont val="Times New Roman"/>
        <family val="1"/>
      </rPr>
      <t>+а</t>
    </r>
    <r>
      <rPr>
        <b/>
        <vertAlign val="subscript"/>
        <sz val="20"/>
        <color rgb="FF0000FF"/>
        <rFont val="Times New Roman"/>
        <family val="1"/>
      </rPr>
      <t>2</t>
    </r>
    <r>
      <rPr>
        <b/>
        <sz val="20"/>
        <color rgb="FF0000FF"/>
        <rFont val="Times New Roman"/>
        <family val="1"/>
      </rPr>
      <t>*</t>
    </r>
    <r>
      <rPr>
        <b/>
        <sz val="20"/>
        <color rgb="FFFF0000"/>
        <rFont val="Times New Roman"/>
        <family val="1"/>
      </rPr>
      <t>Р</t>
    </r>
    <r>
      <rPr>
        <b/>
        <vertAlign val="superscript"/>
        <sz val="20"/>
        <color rgb="FFFF0000"/>
        <rFont val="Times New Roman"/>
        <family val="1"/>
      </rPr>
      <t>КУЛ</t>
    </r>
    <r>
      <rPr>
        <b/>
        <sz val="20"/>
        <color rgb="FF0000FF"/>
        <rFont val="Times New Roman"/>
        <family val="1"/>
      </rPr>
      <t>+а</t>
    </r>
    <r>
      <rPr>
        <b/>
        <vertAlign val="subscript"/>
        <sz val="20"/>
        <color rgb="FF0000FF"/>
        <rFont val="Times New Roman"/>
        <family val="1"/>
      </rPr>
      <t>3</t>
    </r>
    <r>
      <rPr>
        <b/>
        <sz val="20"/>
        <color rgb="FF0000FF"/>
        <rFont val="Times New Roman"/>
        <family val="1"/>
      </rPr>
      <t>*</t>
    </r>
    <r>
      <rPr>
        <b/>
        <sz val="20"/>
        <color rgb="FFFF0000"/>
        <rFont val="Times New Roman"/>
        <family val="1"/>
      </rPr>
      <t>Р</t>
    </r>
    <r>
      <rPr>
        <b/>
        <vertAlign val="superscript"/>
        <sz val="20"/>
        <color rgb="FFFF0000"/>
        <rFont val="Times New Roman"/>
        <family val="1"/>
      </rPr>
      <t>БЛ</t>
    </r>
    <r>
      <rPr>
        <b/>
        <sz val="20"/>
        <color rgb="FF0000FF"/>
        <rFont val="Times New Roman"/>
        <family val="1"/>
      </rPr>
      <t>+а</t>
    </r>
    <r>
      <rPr>
        <b/>
        <vertAlign val="subscript"/>
        <sz val="20"/>
        <color rgb="FF0000FF"/>
        <rFont val="Times New Roman"/>
        <family val="1"/>
      </rPr>
      <t>4</t>
    </r>
    <r>
      <rPr>
        <b/>
        <sz val="20"/>
        <color rgb="FF0000FF"/>
        <rFont val="Times New Roman"/>
        <family val="1"/>
      </rPr>
      <t>*</t>
    </r>
    <r>
      <rPr>
        <b/>
        <sz val="20"/>
        <color rgb="FFFF0000"/>
        <rFont val="Times New Roman"/>
        <family val="1"/>
      </rPr>
      <t>Р</t>
    </r>
    <r>
      <rPr>
        <b/>
        <vertAlign val="superscript"/>
        <sz val="20"/>
        <color rgb="FFFF0000"/>
        <rFont val="Times New Roman"/>
        <family val="1"/>
      </rPr>
      <t>ЭЛ</t>
    </r>
    <r>
      <rPr>
        <b/>
        <sz val="20"/>
        <color rgb="FF0000FF"/>
        <rFont val="Times New Roman"/>
        <family val="1"/>
      </rPr>
      <t>)/</t>
    </r>
    <r>
      <rPr>
        <b/>
        <sz val="20"/>
        <color rgb="FFFF0000"/>
        <rFont val="Times New Roman"/>
        <family val="1"/>
      </rPr>
      <t>ЧН</t>
    </r>
  </si>
  <si>
    <t>3404101 Сельское поселение "Бильчир"</t>
  </si>
  <si>
    <t>3404102 Сельское поселение "Бурят-Янгуты"</t>
  </si>
  <si>
    <t>3404103 Сельское поселение "Ирхидей"</t>
  </si>
  <si>
    <t>3404104 Сельское поселение "Каха-Онгойское"</t>
  </si>
  <si>
    <t>3404105 Сельское поселение "Майск"</t>
  </si>
  <si>
    <t>3404106 Сельское поселение "Ново-Ленино"</t>
  </si>
  <si>
    <t>3404107 Сельское поселение "Обуса"</t>
  </si>
  <si>
    <t>3404108 Сельское поселение "Оса"</t>
  </si>
  <si>
    <t>3404109 Сельское поселение "Поселок Приморский"</t>
  </si>
  <si>
    <t>3404110 Сельское поселение "Русские Янгуты"</t>
  </si>
  <si>
    <t>3404111 Сельское поселение "Улейское"</t>
  </si>
  <si>
    <t>3404112 Сельское поселение "Усть-Алтан"</t>
  </si>
  <si>
    <t xml:space="preserve">3402401 Березняковское сельское поселение </t>
  </si>
  <si>
    <t>3402402 Брусничное сельское поселение</t>
  </si>
  <si>
    <t>3402403 Видимское городское поселение</t>
  </si>
  <si>
    <t>3402404 Дальнинское сельское поселение</t>
  </si>
  <si>
    <t>3402405 Железногорск-Илимское городское поселение</t>
  </si>
  <si>
    <t xml:space="preserve">3402406 Заморское сельское поселение </t>
  </si>
  <si>
    <t xml:space="preserve">3402407 Коршуновское сельское поселение </t>
  </si>
  <si>
    <t>3402408 Новоигирминское городское поселение</t>
  </si>
  <si>
    <t>3402409 Новоилимское сельское поселение</t>
  </si>
  <si>
    <t>3402410 Радищевское городское поселение</t>
  </si>
  <si>
    <t xml:space="preserve">3402411 Речушинское сельское поселение </t>
  </si>
  <si>
    <t>3402412 Рудногорское городское поселение</t>
  </si>
  <si>
    <t xml:space="preserve">3402413 Семигорское сельское поселение </t>
  </si>
  <si>
    <t xml:space="preserve">3402414 Соцгородское сельское поселение </t>
  </si>
  <si>
    <t>3402415 Хребтовское городское поселение</t>
  </si>
  <si>
    <t>3402416 Шестаковское городское поселение</t>
  </si>
  <si>
    <t>3402417 Янгелевское городское поселение</t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</si>
  <si>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</rPr>
      <t>культуры, физкультуры</t>
    </r>
  </si>
  <si>
    <t>Налоговые доходы</t>
  </si>
  <si>
    <t>ИНП</t>
  </si>
  <si>
    <t>ДОТАЦИЯ</t>
  </si>
  <si>
    <t>БО</t>
  </si>
  <si>
    <t>в расчете на 1 жителя</t>
  </si>
  <si>
    <t>содержание ОМСУ</t>
  </si>
  <si>
    <t>организация культуры</t>
  </si>
  <si>
    <t>дороги и благоустройство</t>
  </si>
  <si>
    <t>электро-, тепло-...</t>
  </si>
  <si>
    <t>С учетом весовых коэффициентов</t>
  </si>
  <si>
    <r>
      <t xml:space="preserve">Оценка расходов поселений на содержание </t>
    </r>
    <r>
      <rPr>
        <b/>
        <sz val="10"/>
        <rFont val="Times New Roman"/>
        <family val="1"/>
      </rPr>
      <t>ОМСУ</t>
    </r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</si>
  <si>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</rPr>
      <t>культуры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</si>
  <si>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</rPr>
      <t>электро-, тепло-</t>
    </r>
    <r>
      <rPr>
        <sz val="10"/>
        <rFont val="Times New Roman"/>
        <family val="1"/>
      </rPr>
      <t>...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</si>
  <si>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</rPr>
      <t>по дорогам и благоустройству</t>
    </r>
  </si>
  <si>
    <t>Индекс расходов бюджета, ИБР</t>
  </si>
  <si>
    <t>РАСЧЕТ ИБР ДЛЯ ВЫРАВНИВАНИЯ ПОСЕЛЕНИЙ</t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</si>
  <si>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</rPr>
      <t>культуры, физкультуры</t>
    </r>
  </si>
  <si>
    <t>организация культуры, физкультуры</t>
  </si>
  <si>
    <r>
      <t>а</t>
    </r>
    <r>
      <rPr>
        <b/>
        <vertAlign val="subscript"/>
        <sz val="18"/>
        <rFont val="Times New Roman"/>
        <family val="1"/>
      </rPr>
      <t>1</t>
    </r>
  </si>
  <si>
    <r>
      <t>а</t>
    </r>
    <r>
      <rPr>
        <b/>
        <vertAlign val="subscript"/>
        <sz val="18"/>
        <rFont val="Times New Roman"/>
        <family val="1"/>
      </rPr>
      <t>2</t>
    </r>
  </si>
  <si>
    <r>
      <t>а</t>
    </r>
    <r>
      <rPr>
        <b/>
        <vertAlign val="subscript"/>
        <sz val="18"/>
        <rFont val="Times New Roman"/>
        <family val="1"/>
      </rPr>
      <t>3</t>
    </r>
  </si>
  <si>
    <r>
      <t>а</t>
    </r>
    <r>
      <rPr>
        <b/>
        <vertAlign val="subscript"/>
        <sz val="18"/>
        <rFont val="Times New Roman"/>
        <family val="1"/>
      </rPr>
      <t>4</t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</si>
  <si>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rFont val="Times New Roman"/>
        <family val="1"/>
      </rPr>
      <t xml:space="preserve"> а</t>
    </r>
    <r>
      <rPr>
        <b/>
        <vertAlign val="subscript"/>
        <sz val="14"/>
        <rFont val="Times New Roman"/>
        <family val="1"/>
      </rPr>
      <t>1</t>
    </r>
    <r>
      <rPr>
        <b/>
        <sz val="14"/>
        <rFont val="Times New Roman"/>
        <family val="1"/>
      </rPr>
      <t>+а</t>
    </r>
    <r>
      <rPr>
        <b/>
        <vertAlign val="subscript"/>
        <sz val="14"/>
        <rFont val="Times New Roman"/>
        <family val="1"/>
      </rPr>
      <t>2</t>
    </r>
    <r>
      <rPr>
        <b/>
        <sz val="14"/>
        <rFont val="Times New Roman"/>
        <family val="1"/>
      </rPr>
      <t>+а</t>
    </r>
    <r>
      <rPr>
        <b/>
        <vertAlign val="subscript"/>
        <sz val="14"/>
        <rFont val="Times New Roman"/>
        <family val="1"/>
      </rPr>
      <t>3</t>
    </r>
    <r>
      <rPr>
        <b/>
        <sz val="14"/>
        <rFont val="Times New Roman"/>
        <family val="1"/>
      </rPr>
      <t>+а</t>
    </r>
    <r>
      <rPr>
        <b/>
        <vertAlign val="subscript"/>
        <sz val="14"/>
        <rFont val="Times New Roman"/>
        <family val="1"/>
      </rPr>
      <t>4</t>
    </r>
    <r>
      <rPr>
        <b/>
        <sz val="14"/>
        <rFont val="Times New Roman"/>
        <family val="1"/>
      </rPr>
      <t>+а</t>
    </r>
    <r>
      <rPr>
        <b/>
        <vertAlign val="subscript"/>
        <sz val="14"/>
        <rFont val="Times New Roman"/>
        <family val="1"/>
      </rPr>
      <t>5</t>
    </r>
    <r>
      <rPr>
        <b/>
        <sz val="14"/>
        <rFont val="Times New Roman"/>
        <family val="1"/>
      </rPr>
      <t>=1</t>
    </r>
  </si>
  <si>
    <r>
      <t>а</t>
    </r>
    <r>
      <rPr>
        <b/>
        <vertAlign val="subscript"/>
        <sz val="18"/>
        <rFont val="Times New Roman"/>
        <family val="1"/>
      </rPr>
      <t>5</t>
    </r>
  </si>
  <si>
    <t>софинансирование</t>
  </si>
  <si>
    <t>РАСЧЕТ ДОТАЦИИ НА ВЫРАВНИВАНИЕ БЮДЖЕТНОЙ ОБЕСПЕЧЕННОСТИ ПОСЕЛЕНИЙ</t>
  </si>
  <si>
    <t>РАСЧЕТ ИНДЕКСА БЮДЖЕТНЫХ РАСХОДОВ (ИБР) ДЛЯ ВЫРАВНИВАНИЯ ПОСЕЛЕНИЙ</t>
  </si>
  <si>
    <r>
      <t>Уровень бюджетной обеспеченности (БО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</t>
    </r>
  </si>
  <si>
    <t>Индекс налогового потенциала 
(ИНП)</t>
  </si>
  <si>
    <t>Индекс бюджетных расходов 
(ИБР)</t>
  </si>
  <si>
    <r>
      <t>Уровень бюджетной обеспеченности с учетом дотации на выравнивание бюджетной обеспеченности поселений из областного бюджета (БО</t>
    </r>
    <r>
      <rPr>
        <vertAlign val="subscript"/>
        <sz val="10"/>
        <rFont val="Times New Roman"/>
        <family val="1"/>
      </rPr>
      <t>i</t>
    </r>
    <r>
      <rPr>
        <vertAlign val="superscript"/>
        <sz val="10"/>
        <rFont val="Times New Roman"/>
        <family val="1"/>
      </rPr>
      <t>+1</t>
    </r>
    <r>
      <rPr>
        <sz val="10"/>
        <rFont val="Times New Roman"/>
        <family val="1"/>
      </rPr>
      <t>)</t>
    </r>
  </si>
  <si>
    <r>
      <t>Дотация на выравнивание бюджетной обеспеченности поселений из областного бюджета (Д</t>
    </r>
    <r>
      <rPr>
        <vertAlign val="subscript"/>
        <sz val="10"/>
        <rFont val="Times New Roman"/>
        <family val="1"/>
      </rPr>
      <t>i</t>
    </r>
    <r>
      <rPr>
        <vertAlign val="superscript"/>
        <sz val="10"/>
        <rFont val="Times New Roman"/>
        <family val="1"/>
      </rPr>
      <t>ОБ</t>
    </r>
    <r>
      <rPr>
        <sz val="10"/>
        <rFont val="Times New Roman"/>
        <family val="1"/>
      </rPr>
      <t>), тыс. рублей</t>
    </r>
  </si>
  <si>
    <t>РАСЧЕТ ИНП ДЛЯ ВЫРАВНИВАНИЯ БЮДЖЕТНОЙ ОБЕСПЕЧЕННОСТИ ПОСЕЛЕНИЙ ИЗ БЮДЖЕТА МУНИЦИПАЛЬНОГО РАЙОНА*</t>
  </si>
  <si>
    <t>Ячейки, выделенные цветом, заполняются районом самостоятельно</t>
  </si>
  <si>
    <r>
      <t>Прогнозируемый объем поступлений по j-му виду дохода в бюджеты всех городских и сельских поселений муниципального района (ПП</t>
    </r>
    <r>
      <rPr>
        <vertAlign val="superscript"/>
        <sz val="12"/>
        <rFont val="Arial"/>
        <family val="2"/>
      </rPr>
      <t>j</t>
    </r>
    <r>
      <rPr>
        <sz val="12"/>
        <rFont val="Arial"/>
        <family val="2"/>
      </rPr>
      <t>)</t>
    </r>
  </si>
  <si>
    <t>X</t>
  </si>
  <si>
    <t>№ п/п</t>
  </si>
  <si>
    <t>Наименование городского (сельского) поселения</t>
  </si>
  <si>
    <t>Численность постоянного населения i-го городского (сельского) поселения, чел.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</si>
  <si>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</si>
  <si>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</si>
  <si>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</si>
  <si>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</si>
  <si>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НПi</t>
  </si>
  <si>
    <t>Ki 
(расчитывается в соответствии с п.11 Приложения 9 к Закону Иркутской области от 22.10.2013 №74-оз)</t>
  </si>
  <si>
    <t>ИНПi</t>
  </si>
  <si>
    <r>
      <t>Н</t>
    </r>
    <r>
      <rPr>
        <vertAlign val="subscript"/>
        <sz val="10"/>
        <rFont val="Arial Cyr"/>
        <family val="2"/>
      </rPr>
      <t>i</t>
    </r>
  </si>
  <si>
    <t>расчетная сумма налоговых доходов по всем ГСП МР (ПП)</t>
  </si>
  <si>
    <t>Численность постоянного населения, человек
(Н)</t>
  </si>
  <si>
    <r>
      <t>БО</t>
    </r>
    <r>
      <rPr>
        <b/>
        <vertAlign val="superscript"/>
        <sz val="10"/>
        <rFont val="Times New Roman"/>
        <family val="1"/>
      </rPr>
      <t>max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</si>
  <si>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</rPr>
      <t>на софинансирование по другим направлениям</t>
    </r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</si>
  <si>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</si>
  <si>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</si>
  <si>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</si>
  <si>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</si>
  <si>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), тыс. рублей на 2022год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</si>
  <si>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), тыс. рублей на 2021год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</si>
  <si>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), тыс. рублей на 2020год</t>
    </r>
  </si>
  <si>
    <t>Итого</t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</si>
  <si>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), тыс. рублей на 2023год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</si>
  <si>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), тыс. рублей на 2024год</t>
    </r>
  </si>
  <si>
    <t>2020
(поступления)</t>
  </si>
  <si>
    <t>2020
(начисления)</t>
  </si>
  <si>
    <t>Фонд финансовой поддержки</t>
  </si>
  <si>
    <t>в тч МБТ на сбалансированность</t>
  </si>
  <si>
    <t>дотация на выравнивание</t>
  </si>
  <si>
    <t>к распределению</t>
  </si>
  <si>
    <t>МБТ на сбалансированность</t>
  </si>
  <si>
    <t>дотация на выравнивание 80%</t>
  </si>
  <si>
    <t>нераспределенный объем</t>
  </si>
  <si>
    <t>Ербогаченское</t>
  </si>
  <si>
    <t>Непское</t>
  </si>
  <si>
    <t>Подволошинское</t>
  </si>
  <si>
    <t>Преображенское</t>
  </si>
  <si>
    <t xml:space="preserve">расчетная оценка несбалансированности бюджетов </t>
  </si>
  <si>
    <t>Итого дефицит</t>
  </si>
  <si>
    <t>Доля каждого поселения</t>
  </si>
  <si>
    <t>Распределение МБТ на сбалансированность</t>
  </si>
  <si>
    <t>ВСЕ МБТ за счет местного бюджета</t>
  </si>
  <si>
    <t>на 01.01.2022</t>
  </si>
  <si>
    <t>2021
(поступления)</t>
  </si>
  <si>
    <t>2021
(начисления)</t>
  </si>
  <si>
    <t>1 полугодие 2022 (начисления)</t>
  </si>
  <si>
    <t>1 полугодие   2022 (поступления)</t>
  </si>
  <si>
    <r>
      <t>ИБР=А1×К</t>
    </r>
    <r>
      <rPr>
        <b/>
        <vertAlign val="subscript"/>
        <sz val="20"/>
        <rFont val="Times New Roman"/>
        <family val="1"/>
      </rPr>
      <t>i</t>
    </r>
    <r>
      <rPr>
        <b/>
        <vertAlign val="superscript"/>
        <sz val="20"/>
        <rFont val="Times New Roman"/>
        <family val="1"/>
      </rPr>
      <t>ОМСУ</t>
    </r>
    <r>
      <rPr>
        <b/>
        <sz val="20"/>
        <rFont val="Times New Roman"/>
        <family val="1"/>
      </rPr>
      <t>+А2×К</t>
    </r>
    <r>
      <rPr>
        <b/>
        <vertAlign val="subscript"/>
        <sz val="20"/>
        <rFont val="Times New Roman"/>
        <family val="1"/>
      </rPr>
      <t>i</t>
    </r>
    <r>
      <rPr>
        <b/>
        <vertAlign val="superscript"/>
        <sz val="20"/>
        <rFont val="Times New Roman"/>
        <family val="1"/>
      </rPr>
      <t>КУЛ</t>
    </r>
    <r>
      <rPr>
        <b/>
        <sz val="20"/>
        <rFont val="Times New Roman"/>
        <family val="1"/>
      </rPr>
      <t>+А3×Кi</t>
    </r>
    <r>
      <rPr>
        <b/>
        <vertAlign val="superscript"/>
        <sz val="20"/>
        <rFont val="Times New Roman"/>
        <family val="1"/>
      </rPr>
      <t>ДОР</t>
    </r>
    <r>
      <rPr>
        <b/>
        <sz val="20"/>
        <rFont val="Times New Roman"/>
        <family val="1"/>
      </rPr>
      <t>+А4×К</t>
    </r>
    <r>
      <rPr>
        <b/>
        <vertAlign val="subscript"/>
        <sz val="20"/>
        <rFont val="Times New Roman"/>
        <family val="1"/>
      </rPr>
      <t>i</t>
    </r>
    <r>
      <rPr>
        <b/>
        <vertAlign val="superscript"/>
        <sz val="20"/>
        <rFont val="Times New Roman"/>
        <family val="1"/>
      </rPr>
      <t>ЖКУ</t>
    </r>
    <r>
      <rPr>
        <b/>
        <sz val="20"/>
        <rFont val="Times New Roman"/>
        <family val="1"/>
      </rPr>
      <t>+А5×К</t>
    </r>
    <r>
      <rPr>
        <b/>
        <vertAlign val="subscript"/>
        <sz val="20"/>
        <rFont val="Times New Roman"/>
        <family val="1"/>
      </rPr>
      <t>i</t>
    </r>
    <r>
      <rPr>
        <b/>
        <vertAlign val="superscript"/>
        <sz val="20"/>
        <rFont val="Times New Roman"/>
        <family val="1"/>
      </rPr>
      <t>СОФ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</si>
</sst>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р_._-;\-* #,##0.00_р_._-;_-* &quot;-&quot;??_р_._-;_-@_-"/>
    <numFmt numFmtId="165" formatCode="#,##0.000"/>
    <numFmt numFmtId="166" formatCode="\$#,##0\ ;\(\$#,##0\)"/>
    <numFmt numFmtId="167" formatCode="0.0000"/>
    <numFmt numFmtId="168" formatCode="#,##0.0000_ ;[Red]\-#,##0.0000\ "/>
    <numFmt numFmtId="169" formatCode="0.0"/>
    <numFmt numFmtId="170" formatCode="#,##0.0"/>
    <numFmt numFmtId="171" formatCode="0.0000000000000"/>
    <numFmt numFmtId="172" formatCode="0.000"/>
    <numFmt numFmtId="173" formatCode="#,##0.0000"/>
  </numFmts>
  <fonts count="8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sz val="10"/>
      <name val="MS Sans Serif"/>
      <family val="2"/>
    </font>
    <font>
      <sz val="10"/>
      <name val="Times New Roman CYR"/>
      <family val="2"/>
    </font>
    <font>
      <sz val="10"/>
      <name val="Arial Cyr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FF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b/>
      <sz val="20"/>
      <color rgb="FF0000FF"/>
      <name val="Times New Roman"/>
      <family val="1"/>
    </font>
    <font>
      <b/>
      <vertAlign val="subscript"/>
      <sz val="20"/>
      <color rgb="FF0000FF"/>
      <name val="Times New Roman"/>
      <family val="1"/>
    </font>
    <font>
      <b/>
      <sz val="20"/>
      <color rgb="FFFF0000"/>
      <name val="Times New Roman"/>
      <family val="1"/>
    </font>
    <font>
      <b/>
      <vertAlign val="superscript"/>
      <sz val="20"/>
      <color rgb="FFFF0000"/>
      <name val="Times New Roman"/>
      <family val="1"/>
    </font>
    <font>
      <b/>
      <sz val="18"/>
      <color rgb="FF0000FF"/>
      <name val="Times New Roman"/>
      <family val="1"/>
    </font>
    <font>
      <b/>
      <vertAlign val="subscript"/>
      <sz val="18"/>
      <color rgb="FF0000FF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rgb="FF0000FF"/>
      <name val="Times New Roman"/>
      <family val="1"/>
    </font>
    <font>
      <b/>
      <vertAlign val="subscript"/>
      <sz val="14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vertAlign val="subscript"/>
      <sz val="18"/>
      <name val="Times New Roman"/>
      <family val="1"/>
    </font>
    <font>
      <b/>
      <vertAlign val="subscript"/>
      <sz val="20"/>
      <name val="Times New Roman"/>
      <family val="1"/>
    </font>
    <font>
      <b/>
      <vertAlign val="superscript"/>
      <sz val="20"/>
      <name val="Times New Roman"/>
      <family val="1"/>
    </font>
    <font>
      <b/>
      <vertAlign val="subscript"/>
      <sz val="14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 Cyr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 Cyr"/>
      <family val="2"/>
    </font>
    <font>
      <vertAlign val="subscript"/>
      <sz val="10"/>
      <name val="Arial Cyr"/>
      <family val="2"/>
    </font>
    <font>
      <b/>
      <sz val="14"/>
      <name val="Arial Cyr"/>
      <family val="2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2"/>
    </font>
    <font>
      <sz val="8"/>
      <name val="Arial Cyr"/>
      <family val="2"/>
    </font>
    <font>
      <sz val="13"/>
      <color theme="1"/>
      <name val="Calibri"/>
      <family val="2"/>
    </font>
    <font>
      <sz val="18"/>
      <color theme="1"/>
      <name val="Times New Roman"/>
      <family val="2"/>
    </font>
    <font>
      <sz val="10"/>
      <color theme="1"/>
      <name val="Arial"/>
      <family val="2"/>
      <scheme val="minor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8" applyNumberFormat="0" applyAlignment="0" applyProtection="0"/>
    <xf numFmtId="0" fontId="28" fillId="20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21" borderId="2" applyNumberFormat="0" applyAlignment="0" applyProtection="0"/>
    <xf numFmtId="0" fontId="2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9" fontId="5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39" fillId="4" borderId="0" applyNumberFormat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7">
    <xf numFmtId="0" fontId="0" fillId="0" borderId="0" xfId="0"/>
    <xf numFmtId="0" fontId="41" fillId="0" borderId="0" xfId="28" applyFont="1" applyFill="1">
      <alignment/>
      <protection/>
    </xf>
    <xf numFmtId="1" fontId="41" fillId="0" borderId="10" xfId="28" applyNumberFormat="1" applyFont="1" applyFill="1" applyBorder="1" applyAlignment="1">
      <alignment horizontal="center" vertical="center" wrapText="1"/>
      <protection/>
    </xf>
    <xf numFmtId="49" fontId="41" fillId="0" borderId="10" xfId="28" applyNumberFormat="1" applyFont="1" applyFill="1" applyBorder="1" applyAlignment="1" applyProtection="1">
      <alignment horizontal="center" vertical="center" wrapText="1"/>
      <protection/>
    </xf>
    <xf numFmtId="49" fontId="41" fillId="0" borderId="10" xfId="28" applyNumberFormat="1" applyFont="1" applyFill="1" applyBorder="1" applyAlignment="1">
      <alignment horizontal="center" vertical="center" wrapText="1"/>
      <protection/>
    </xf>
    <xf numFmtId="0" fontId="41" fillId="0" borderId="0" xfId="28" applyFont="1" applyFill="1" applyAlignment="1">
      <alignment horizontal="center" vertical="center" wrapText="1"/>
      <protection/>
    </xf>
    <xf numFmtId="0" fontId="42" fillId="0" borderId="0" xfId="28" applyFont="1" applyFill="1" applyAlignment="1">
      <alignment wrapText="1"/>
      <protection/>
    </xf>
    <xf numFmtId="0" fontId="42" fillId="0" borderId="0" xfId="28" applyFont="1" applyFill="1" applyAlignment="1">
      <alignment horizontal="center" wrapText="1"/>
      <protection/>
    </xf>
    <xf numFmtId="0" fontId="41" fillId="0" borderId="0" xfId="28" applyFont="1" applyFill="1" applyAlignment="1">
      <alignment horizontal="center"/>
      <protection/>
    </xf>
    <xf numFmtId="0" fontId="42" fillId="0" borderId="0" xfId="28" applyFont="1" applyFill="1">
      <alignment/>
      <protection/>
    </xf>
    <xf numFmtId="0" fontId="40" fillId="0" borderId="0" xfId="28" applyFont="1" applyFill="1" applyBorder="1" applyAlignment="1">
      <alignment horizontal="center"/>
      <protection/>
    </xf>
    <xf numFmtId="0" fontId="41" fillId="0" borderId="0" xfId="28" applyFont="1" applyFill="1" applyBorder="1">
      <alignment/>
      <protection/>
    </xf>
    <xf numFmtId="0" fontId="50" fillId="0" borderId="11" xfId="28" applyFont="1" applyFill="1" applyBorder="1" applyAlignment="1">
      <alignment horizontal="center"/>
      <protection/>
    </xf>
    <xf numFmtId="0" fontId="42" fillId="0" borderId="0" xfId="28" applyFont="1" applyFill="1" applyBorder="1" applyAlignment="1">
      <alignment horizontal="center"/>
      <protection/>
    </xf>
    <xf numFmtId="0" fontId="41" fillId="0" borderId="0" xfId="28" applyFont="1" applyFill="1" applyBorder="1" applyAlignment="1">
      <alignment horizontal="center"/>
      <protection/>
    </xf>
    <xf numFmtId="49" fontId="42" fillId="24" borderId="10" xfId="28" applyNumberFormat="1" applyFont="1" applyFill="1" applyBorder="1" applyAlignment="1">
      <alignment horizontal="center" vertical="center" wrapText="1"/>
      <protection/>
    </xf>
    <xf numFmtId="165" fontId="43" fillId="25" borderId="12" xfId="28" applyNumberFormat="1" applyFont="1" applyFill="1" applyBorder="1" applyAlignment="1">
      <alignment horizontal="center"/>
      <protection/>
    </xf>
    <xf numFmtId="165" fontId="43" fillId="0" borderId="12" xfId="28" applyNumberFormat="1" applyFont="1" applyFill="1" applyBorder="1" applyAlignment="1">
      <alignment horizontal="center"/>
      <protection/>
    </xf>
    <xf numFmtId="49" fontId="53" fillId="0" borderId="10" xfId="28" applyNumberFormat="1" applyFont="1" applyFill="1" applyBorder="1" applyAlignment="1">
      <alignment horizontal="center" vertical="center" wrapText="1"/>
      <protection/>
    </xf>
    <xf numFmtId="0" fontId="52" fillId="0" borderId="0" xfId="28" applyFont="1" applyFill="1" applyBorder="1" applyAlignment="1">
      <alignment shrinkToFit="1"/>
      <protection/>
    </xf>
    <xf numFmtId="3" fontId="44" fillId="0" borderId="10" xfId="27" applyNumberFormat="1" applyFont="1" applyFill="1" applyBorder="1" applyAlignment="1" applyProtection="1">
      <alignment horizontal="center" shrinkToFit="1"/>
      <protection/>
    </xf>
    <xf numFmtId="49" fontId="42" fillId="0" borderId="10" xfId="28" applyNumberFormat="1" applyFont="1" applyFill="1" applyBorder="1" applyAlignment="1">
      <alignment horizontal="left" vertical="center" shrinkToFit="1"/>
      <protection/>
    </xf>
    <xf numFmtId="3" fontId="42" fillId="0" borderId="10" xfId="28" applyNumberFormat="1" applyFont="1" applyFill="1" applyBorder="1" applyAlignment="1">
      <alignment horizontal="right" shrinkToFit="1"/>
      <protection/>
    </xf>
    <xf numFmtId="3" fontId="42" fillId="0" borderId="10" xfId="28" applyNumberFormat="1" applyFont="1" applyFill="1" applyBorder="1" applyAlignment="1">
      <alignment shrinkToFit="1"/>
      <protection/>
    </xf>
    <xf numFmtId="3" fontId="42" fillId="24" borderId="10" xfId="28" applyNumberFormat="1" applyFont="1" applyFill="1" applyBorder="1" applyAlignment="1">
      <alignment horizontal="right" shrinkToFit="1"/>
      <protection/>
    </xf>
    <xf numFmtId="0" fontId="41" fillId="0" borderId="10" xfId="29" applyNumberFormat="1" applyFont="1" applyFill="1" applyBorder="1" applyAlignment="1">
      <alignment horizontal="center" vertical="center" shrinkToFit="1"/>
      <protection/>
    </xf>
    <xf numFmtId="0" fontId="41" fillId="25" borderId="10" xfId="28" applyNumberFormat="1" applyFont="1" applyFill="1" applyBorder="1" applyAlignment="1">
      <alignment horizontal="left" shrinkToFit="1"/>
      <protection/>
    </xf>
    <xf numFmtId="3" fontId="41" fillId="25" borderId="10" xfId="28" applyNumberFormat="1" applyFont="1" applyFill="1" applyBorder="1" applyAlignment="1">
      <alignment shrinkToFit="1"/>
      <protection/>
    </xf>
    <xf numFmtId="3" fontId="41" fillId="25" borderId="10" xfId="28" applyNumberFormat="1" applyFont="1" applyFill="1" applyBorder="1" applyAlignment="1" applyProtection="1">
      <alignment shrinkToFit="1"/>
      <protection/>
    </xf>
    <xf numFmtId="167" fontId="42" fillId="24" borderId="10" xfId="28" applyNumberFormat="1" applyFont="1" applyFill="1" applyBorder="1" applyAlignment="1">
      <alignment horizontal="right" shrinkToFit="1"/>
      <protection/>
    </xf>
    <xf numFmtId="169" fontId="42" fillId="0" borderId="0" xfId="28" applyNumberFormat="1" applyFont="1" applyFill="1" applyAlignment="1">
      <alignment horizontal="center" wrapText="1"/>
      <protection/>
    </xf>
    <xf numFmtId="0" fontId="57" fillId="0" borderId="0" xfId="28" applyFont="1" applyFill="1" applyAlignment="1">
      <alignment wrapText="1" shrinkToFit="1"/>
      <protection/>
    </xf>
    <xf numFmtId="0" fontId="57" fillId="0" borderId="0" xfId="28" applyFont="1" applyFill="1" applyBorder="1" applyAlignment="1">
      <alignment wrapText="1" shrinkToFit="1"/>
      <protection/>
    </xf>
    <xf numFmtId="0" fontId="57" fillId="0" borderId="0" xfId="28" applyFont="1" applyFill="1" applyBorder="1" applyAlignment="1">
      <alignment horizontal="center" wrapText="1" shrinkToFit="1"/>
      <protection/>
    </xf>
    <xf numFmtId="49" fontId="57" fillId="0" borderId="10" xfId="28" applyNumberFormat="1" applyFont="1" applyFill="1" applyBorder="1" applyAlignment="1">
      <alignment horizontal="center" vertical="center" wrapText="1" shrinkToFit="1"/>
      <protection/>
    </xf>
    <xf numFmtId="3" fontId="58" fillId="0" borderId="10" xfId="28" applyNumberFormat="1" applyFont="1" applyFill="1" applyBorder="1" applyAlignment="1">
      <alignment wrapText="1" shrinkToFit="1"/>
      <protection/>
    </xf>
    <xf numFmtId="3" fontId="57" fillId="0" borderId="10" xfId="28" applyNumberFormat="1" applyFont="1" applyFill="1" applyBorder="1" applyAlignment="1" applyProtection="1">
      <alignment wrapText="1" shrinkToFit="1"/>
      <protection/>
    </xf>
    <xf numFmtId="4" fontId="57" fillId="0" borderId="10" xfId="28" applyNumberFormat="1" applyFont="1" applyFill="1" applyBorder="1" applyAlignment="1" applyProtection="1">
      <alignment wrapText="1" shrinkToFit="1"/>
      <protection/>
    </xf>
    <xf numFmtId="4" fontId="58" fillId="0" borderId="10" xfId="28" applyNumberFormat="1" applyFont="1" applyFill="1" applyBorder="1" applyAlignment="1" applyProtection="1">
      <alignment wrapText="1" shrinkToFit="1"/>
      <protection/>
    </xf>
    <xf numFmtId="4" fontId="58" fillId="0" borderId="10" xfId="28" applyNumberFormat="1" applyFont="1" applyFill="1" applyBorder="1" applyAlignment="1">
      <alignment wrapText="1" shrinkToFit="1"/>
      <protection/>
    </xf>
    <xf numFmtId="0" fontId="57" fillId="0" borderId="0" xfId="28" applyFont="1" applyFill="1" applyAlignment="1">
      <alignment horizontal="center" vertical="center" wrapText="1"/>
      <protection/>
    </xf>
    <xf numFmtId="49" fontId="57" fillId="0" borderId="10" xfId="28" applyNumberFormat="1" applyFont="1" applyFill="1" applyBorder="1" applyAlignment="1">
      <alignment horizontal="center" vertical="center" wrapText="1"/>
      <protection/>
    </xf>
    <xf numFmtId="3" fontId="59" fillId="0" borderId="10" xfId="27" applyNumberFormat="1" applyFont="1" applyFill="1" applyBorder="1" applyAlignment="1" applyProtection="1">
      <alignment horizontal="center" shrinkToFit="1"/>
      <protection/>
    </xf>
    <xf numFmtId="49" fontId="58" fillId="0" borderId="10" xfId="28" applyNumberFormat="1" applyFont="1" applyFill="1" applyBorder="1" applyAlignment="1">
      <alignment horizontal="left" vertical="center" shrinkToFit="1"/>
      <protection/>
    </xf>
    <xf numFmtId="3" fontId="58" fillId="0" borderId="10" xfId="28" applyNumberFormat="1" applyFont="1" applyFill="1" applyBorder="1" applyAlignment="1">
      <alignment horizontal="right" shrinkToFit="1"/>
      <protection/>
    </xf>
    <xf numFmtId="9" fontId="58" fillId="0" borderId="10" xfId="121" applyFont="1" applyFill="1" applyBorder="1" applyAlignment="1">
      <alignment shrinkToFit="1"/>
    </xf>
    <xf numFmtId="3" fontId="58" fillId="24" borderId="10" xfId="28" applyNumberFormat="1" applyFont="1" applyFill="1" applyBorder="1" applyAlignment="1">
      <alignment horizontal="right" shrinkToFit="1"/>
      <protection/>
    </xf>
    <xf numFmtId="0" fontId="58" fillId="0" borderId="0" xfId="28" applyFont="1" applyFill="1" applyAlignment="1">
      <alignment wrapText="1"/>
      <protection/>
    </xf>
    <xf numFmtId="168" fontId="57" fillId="0" borderId="0" xfId="28" applyNumberFormat="1" applyFont="1" applyFill="1" applyAlignment="1">
      <alignment horizontal="right" wrapText="1"/>
      <protection/>
    </xf>
    <xf numFmtId="0" fontId="57" fillId="0" borderId="10" xfId="29" applyNumberFormat="1" applyFont="1" applyFill="1" applyBorder="1" applyAlignment="1">
      <alignment horizontal="center" vertical="center" shrinkToFit="1"/>
      <protection/>
    </xf>
    <xf numFmtId="9" fontId="57" fillId="0" borderId="10" xfId="121" applyFont="1" applyFill="1" applyBorder="1" applyAlignment="1" applyProtection="1">
      <alignment shrinkToFit="1"/>
      <protection/>
    </xf>
    <xf numFmtId="169" fontId="58" fillId="0" borderId="0" xfId="28" applyNumberFormat="1" applyFont="1" applyFill="1" applyAlignment="1">
      <alignment horizontal="center" wrapText="1"/>
      <protection/>
    </xf>
    <xf numFmtId="0" fontId="58" fillId="0" borderId="0" xfId="28" applyFont="1" applyFill="1" applyAlignment="1">
      <alignment horizontal="center" wrapText="1"/>
      <protection/>
    </xf>
    <xf numFmtId="170" fontId="57" fillId="0" borderId="10" xfId="28" applyNumberFormat="1" applyFont="1" applyFill="1" applyBorder="1" applyAlignment="1" applyProtection="1">
      <alignment shrinkToFit="1"/>
      <protection/>
    </xf>
    <xf numFmtId="2" fontId="58" fillId="24" borderId="10" xfId="28" applyNumberFormat="1" applyFont="1" applyFill="1" applyBorder="1" applyAlignment="1">
      <alignment horizontal="right" shrinkToFit="1"/>
      <protection/>
    </xf>
    <xf numFmtId="0" fontId="60" fillId="0" borderId="0" xfId="28" applyFont="1" applyFill="1" applyBorder="1" applyAlignment="1">
      <alignment horizontal="center"/>
      <protection/>
    </xf>
    <xf numFmtId="170" fontId="58" fillId="0" borderId="10" xfId="28" applyNumberFormat="1" applyFont="1" applyFill="1" applyBorder="1" applyAlignment="1">
      <alignment shrinkToFit="1"/>
      <protection/>
    </xf>
    <xf numFmtId="165" fontId="43" fillId="25" borderId="12" xfId="28" applyNumberFormat="1" applyFont="1" applyFill="1" applyBorder="1" applyAlignment="1" applyProtection="1">
      <alignment horizontal="center"/>
      <protection locked="0"/>
    </xf>
    <xf numFmtId="0" fontId="57" fillId="25" borderId="10" xfId="28" applyNumberFormat="1" applyFont="1" applyFill="1" applyBorder="1" applyAlignment="1" applyProtection="1">
      <alignment horizontal="left" shrinkToFit="1"/>
      <protection locked="0"/>
    </xf>
    <xf numFmtId="3" fontId="57" fillId="25" borderId="10" xfId="28" applyNumberFormat="1" applyFont="1" applyFill="1" applyBorder="1" applyAlignment="1" applyProtection="1">
      <alignment shrinkToFit="1"/>
      <protection locked="0"/>
    </xf>
    <xf numFmtId="165" fontId="42" fillId="26" borderId="12" xfId="28" applyNumberFormat="1" applyFont="1" applyFill="1" applyBorder="1" applyAlignment="1" applyProtection="1">
      <alignment horizontal="center"/>
      <protection locked="0"/>
    </xf>
    <xf numFmtId="0" fontId="57" fillId="26" borderId="10" xfId="28" applyNumberFormat="1" applyFont="1" applyFill="1" applyBorder="1" applyAlignment="1" applyProtection="1">
      <alignment horizontal="left" shrinkToFit="1"/>
      <protection locked="0"/>
    </xf>
    <xf numFmtId="3" fontId="57" fillId="26" borderId="10" xfId="28" applyNumberFormat="1" applyFont="1" applyFill="1" applyBorder="1" applyAlignment="1" applyProtection="1">
      <alignment shrinkToFit="1"/>
      <protection locked="0"/>
    </xf>
    <xf numFmtId="2" fontId="58" fillId="0" borderId="0" xfId="28" applyNumberFormat="1" applyFont="1" applyFill="1" applyAlignment="1">
      <alignment horizontal="center" wrapText="1"/>
      <protection/>
    </xf>
    <xf numFmtId="0" fontId="61" fillId="0" borderId="0" xfId="28" applyFont="1" applyFill="1" applyAlignment="1">
      <alignment/>
      <protection/>
    </xf>
    <xf numFmtId="0" fontId="60" fillId="27" borderId="0" xfId="32" applyFont="1" applyFill="1" applyAlignment="1">
      <alignment horizontal="center" vertical="center" wrapText="1"/>
      <protection/>
    </xf>
    <xf numFmtId="0" fontId="5" fillId="27" borderId="0" xfId="32" applyFill="1" applyBorder="1" applyAlignment="1">
      <alignment vertical="center"/>
      <protection/>
    </xf>
    <xf numFmtId="3" fontId="5" fillId="26" borderId="10" xfId="32" applyNumberFormat="1" applyFill="1" applyBorder="1" applyAlignment="1">
      <alignment vertical="center"/>
      <protection/>
    </xf>
    <xf numFmtId="0" fontId="69" fillId="27" borderId="13" xfId="32" applyFont="1" applyFill="1" applyBorder="1" applyAlignment="1">
      <alignment horizontal="center" vertical="center" wrapText="1"/>
      <protection/>
    </xf>
    <xf numFmtId="0" fontId="5" fillId="27" borderId="13" xfId="32" applyFont="1" applyFill="1" applyBorder="1" applyAlignment="1">
      <alignment horizontal="center" vertical="center" wrapText="1"/>
      <protection/>
    </xf>
    <xf numFmtId="0" fontId="69" fillId="27" borderId="14" xfId="32" applyFont="1" applyFill="1" applyBorder="1" applyAlignment="1">
      <alignment horizontal="center" vertical="center"/>
      <protection/>
    </xf>
    <xf numFmtId="0" fontId="69" fillId="27" borderId="10" xfId="32" applyFont="1" applyFill="1" applyBorder="1" applyAlignment="1">
      <alignment horizontal="center" vertical="center"/>
      <protection/>
    </xf>
    <xf numFmtId="0" fontId="5" fillId="27" borderId="14" xfId="32" applyFont="1" applyFill="1" applyBorder="1" applyAlignment="1">
      <alignment horizontal="center" vertical="center" wrapText="1"/>
      <protection/>
    </xf>
    <xf numFmtId="0" fontId="5" fillId="27" borderId="10" xfId="32" applyFont="1" applyFill="1" applyBorder="1" applyAlignment="1">
      <alignment horizontal="center" vertical="center" wrapText="1"/>
      <protection/>
    </xf>
    <xf numFmtId="0" fontId="74" fillId="27" borderId="10" xfId="32" applyFont="1" applyFill="1" applyBorder="1" applyAlignment="1">
      <alignment horizontal="center" vertical="center" wrapText="1"/>
      <protection/>
    </xf>
    <xf numFmtId="3" fontId="74" fillId="27" borderId="13" xfId="32" applyNumberFormat="1" applyFont="1" applyFill="1" applyBorder="1" applyAlignment="1">
      <alignment horizontal="center" vertical="center" wrapText="1"/>
      <protection/>
    </xf>
    <xf numFmtId="3" fontId="74" fillId="27" borderId="15" xfId="32" applyNumberFormat="1" applyFont="1" applyFill="1" applyBorder="1" applyAlignment="1">
      <alignment horizontal="center" vertical="center" wrapText="1"/>
      <protection/>
    </xf>
    <xf numFmtId="3" fontId="74" fillId="27" borderId="16" xfId="32" applyNumberFormat="1" applyFont="1" applyFill="1" applyBorder="1" applyAlignment="1">
      <alignment horizontal="center" vertical="center" wrapText="1"/>
      <protection/>
    </xf>
    <xf numFmtId="3" fontId="74" fillId="27" borderId="17" xfId="32" applyNumberFormat="1" applyFont="1" applyFill="1" applyBorder="1" applyAlignment="1">
      <alignment horizontal="center" vertical="center" wrapText="1"/>
      <protection/>
    </xf>
    <xf numFmtId="0" fontId="74" fillId="27" borderId="10" xfId="32" applyFont="1" applyFill="1" applyBorder="1" applyAlignment="1">
      <alignment horizontal="center" vertical="center"/>
      <protection/>
    </xf>
    <xf numFmtId="3" fontId="5" fillId="26" borderId="14" xfId="32" applyNumberFormat="1" applyFont="1" applyFill="1" applyBorder="1" applyAlignment="1">
      <alignment vertical="center"/>
      <protection/>
    </xf>
    <xf numFmtId="3" fontId="5" fillId="26" borderId="10" xfId="32" applyNumberFormat="1" applyFont="1" applyFill="1" applyBorder="1" applyAlignment="1">
      <alignment vertical="center"/>
      <protection/>
    </xf>
    <xf numFmtId="3" fontId="5" fillId="27" borderId="10" xfId="32" applyNumberFormat="1" applyFill="1" applyBorder="1" applyAlignment="1">
      <alignment vertical="center"/>
      <protection/>
    </xf>
    <xf numFmtId="3" fontId="5" fillId="27" borderId="16" xfId="32" applyNumberFormat="1" applyFill="1" applyBorder="1" applyAlignment="1">
      <alignment vertical="center"/>
      <protection/>
    </xf>
    <xf numFmtId="3" fontId="5" fillId="27" borderId="10" xfId="32" applyNumberFormat="1" applyFont="1" applyFill="1" applyBorder="1" applyAlignment="1">
      <alignment vertical="center"/>
      <protection/>
    </xf>
    <xf numFmtId="3" fontId="5" fillId="27" borderId="16" xfId="32" applyNumberFormat="1" applyFont="1" applyFill="1" applyBorder="1" applyAlignment="1">
      <alignment vertical="center"/>
      <protection/>
    </xf>
    <xf numFmtId="0" fontId="5" fillId="27" borderId="10" xfId="32" applyFill="1" applyBorder="1" applyAlignment="1">
      <alignment vertical="center"/>
      <protection/>
    </xf>
    <xf numFmtId="3" fontId="5" fillId="27" borderId="18" xfId="32" applyNumberFormat="1" applyFill="1" applyBorder="1" applyAlignment="1">
      <alignment vertical="center"/>
      <protection/>
    </xf>
    <xf numFmtId="3" fontId="57" fillId="27" borderId="10" xfId="28" applyNumberFormat="1" applyFont="1" applyFill="1" applyBorder="1" applyAlignment="1" applyProtection="1">
      <alignment shrinkToFit="1"/>
      <protection locked="0"/>
    </xf>
    <xf numFmtId="0" fontId="58" fillId="0" borderId="0" xfId="0" applyFont="1" applyAlignment="1">
      <alignment horizontal="right"/>
    </xf>
    <xf numFmtId="3" fontId="58" fillId="0" borderId="10" xfId="28" applyNumberFormat="1" applyFont="1" applyFill="1" applyBorder="1" applyAlignment="1">
      <alignment horizontal="center" shrinkToFit="1"/>
      <protection/>
    </xf>
    <xf numFmtId="0" fontId="57" fillId="0" borderId="0" xfId="0" applyFont="1"/>
    <xf numFmtId="0" fontId="57" fillId="26" borderId="10" xfId="0" applyFont="1" applyFill="1" applyBorder="1"/>
    <xf numFmtId="3" fontId="5" fillId="28" borderId="10" xfId="32" applyNumberFormat="1" applyFill="1" applyBorder="1" applyAlignment="1">
      <alignment vertical="center"/>
      <protection/>
    </xf>
    <xf numFmtId="0" fontId="45" fillId="26" borderId="0" xfId="28" applyFont="1" applyFill="1" applyBorder="1" applyAlignment="1">
      <alignment horizontal="center"/>
      <protection/>
    </xf>
    <xf numFmtId="4" fontId="57" fillId="27" borderId="10" xfId="28" applyNumberFormat="1" applyFont="1" applyFill="1" applyBorder="1" applyAlignment="1" applyProtection="1">
      <alignment shrinkToFit="1"/>
      <protection locked="0"/>
    </xf>
    <xf numFmtId="0" fontId="0" fillId="27" borderId="0" xfId="0" applyFill="1" applyBorder="1"/>
    <xf numFmtId="2" fontId="57" fillId="27" borderId="0" xfId="0" applyNumberFormat="1" applyFont="1" applyFill="1" applyBorder="1"/>
    <xf numFmtId="0" fontId="57" fillId="27" borderId="0" xfId="0" applyFont="1" applyFill="1" applyBorder="1"/>
    <xf numFmtId="0" fontId="57" fillId="27" borderId="0" xfId="28" applyNumberFormat="1" applyFont="1" applyFill="1" applyBorder="1" applyAlignment="1" applyProtection="1">
      <alignment horizontal="left" shrinkToFit="1"/>
      <protection locked="0"/>
    </xf>
    <xf numFmtId="165" fontId="58" fillId="25" borderId="10" xfId="28" applyNumberFormat="1" applyFont="1" applyFill="1" applyBorder="1" applyAlignment="1">
      <alignment horizontal="center" shrinkToFit="1"/>
      <protection/>
    </xf>
    <xf numFmtId="164" fontId="0" fillId="27" borderId="10" xfId="122" applyFont="1" applyFill="1" applyBorder="1"/>
    <xf numFmtId="164" fontId="57" fillId="27" borderId="10" xfId="0" applyNumberFormat="1" applyFont="1" applyFill="1" applyBorder="1"/>
    <xf numFmtId="0" fontId="5" fillId="27" borderId="10" xfId="32" applyFill="1" applyBorder="1" applyAlignment="1">
      <alignment horizontal="center" vertical="center"/>
      <protection/>
    </xf>
    <xf numFmtId="0" fontId="61" fillId="27" borderId="0" xfId="32" applyFont="1" applyFill="1" applyAlignment="1">
      <alignment horizontal="center" vertical="center" wrapText="1"/>
      <protection/>
    </xf>
    <xf numFmtId="0" fontId="40" fillId="0" borderId="0" xfId="28" applyFont="1" applyAlignment="1">
      <alignment horizontal="center"/>
      <protection/>
    </xf>
    <xf numFmtId="0" fontId="62" fillId="0" borderId="11" xfId="28" applyFont="1" applyBorder="1" applyAlignment="1">
      <alignment horizontal="center"/>
      <protection/>
    </xf>
    <xf numFmtId="0" fontId="62" fillId="0" borderId="0" xfId="28" applyFont="1" applyAlignment="1">
      <alignment horizontal="center"/>
      <protection/>
    </xf>
    <xf numFmtId="165" fontId="42" fillId="0" borderId="12" xfId="28" applyNumberFormat="1" applyFont="1" applyBorder="1" applyAlignment="1">
      <alignment horizontal="center"/>
      <protection/>
    </xf>
    <xf numFmtId="165" fontId="42" fillId="0" borderId="0" xfId="28" applyNumberFormat="1" applyFont="1" applyAlignment="1">
      <alignment horizontal="center"/>
      <protection/>
    </xf>
    <xf numFmtId="49" fontId="57" fillId="0" borderId="10" xfId="28" applyNumberFormat="1" applyFont="1" applyBorder="1" applyAlignment="1">
      <alignment horizontal="center" vertical="center" wrapText="1"/>
      <protection/>
    </xf>
    <xf numFmtId="3" fontId="59" fillId="0" borderId="10" xfId="27" applyNumberFormat="1" applyFont="1" applyBorder="1" applyAlignment="1">
      <alignment horizontal="center" shrinkToFit="1"/>
      <protection/>
    </xf>
    <xf numFmtId="49" fontId="58" fillId="0" borderId="10" xfId="28" applyNumberFormat="1" applyFont="1" applyBorder="1" applyAlignment="1">
      <alignment horizontal="left" vertical="center" shrinkToFit="1"/>
      <protection/>
    </xf>
    <xf numFmtId="3" fontId="58" fillId="0" borderId="10" xfId="28" applyNumberFormat="1" applyFont="1" applyBorder="1" applyAlignment="1">
      <alignment horizontal="right" shrinkToFit="1"/>
      <protection/>
    </xf>
    <xf numFmtId="170" fontId="58" fillId="0" borderId="10" xfId="28" applyNumberFormat="1" applyFont="1" applyBorder="1" applyAlignment="1">
      <alignment shrinkToFit="1"/>
      <protection/>
    </xf>
    <xf numFmtId="0" fontId="57" fillId="0" borderId="10" xfId="29" applyFont="1" applyBorder="1" applyAlignment="1">
      <alignment horizontal="center" vertical="center" shrinkToFit="1"/>
      <protection/>
    </xf>
    <xf numFmtId="0" fontId="57" fillId="26" borderId="10" xfId="28" applyFont="1" applyFill="1" applyBorder="1" applyAlignment="1" applyProtection="1">
      <alignment horizontal="left" shrinkToFit="1"/>
      <protection locked="0"/>
    </xf>
    <xf numFmtId="170" fontId="57" fillId="0" borderId="10" xfId="28" applyNumberFormat="1" applyFont="1" applyBorder="1" applyAlignment="1">
      <alignment shrinkToFit="1"/>
      <protection/>
    </xf>
    <xf numFmtId="165" fontId="57" fillId="0" borderId="10" xfId="28" applyNumberFormat="1" applyFont="1" applyBorder="1" applyAlignment="1">
      <alignment shrinkToFit="1"/>
      <protection/>
    </xf>
    <xf numFmtId="0" fontId="69" fillId="27" borderId="0" xfId="32" applyFont="1" applyFill="1" applyAlignment="1">
      <alignment vertical="center"/>
      <protection/>
    </xf>
    <xf numFmtId="0" fontId="5" fillId="27" borderId="0" xfId="32" applyFill="1" applyAlignment="1">
      <alignment vertical="center"/>
      <protection/>
    </xf>
    <xf numFmtId="0" fontId="0" fillId="27" borderId="0" xfId="32" applyFont="1" applyFill="1" applyAlignment="1">
      <alignment horizontal="left" vertical="center"/>
      <protection/>
    </xf>
    <xf numFmtId="0" fontId="5" fillId="27" borderId="0" xfId="32" applyFill="1" applyAlignment="1">
      <alignment horizontal="center" vertical="center"/>
      <protection/>
    </xf>
    <xf numFmtId="0" fontId="5" fillId="27" borderId="0" xfId="32" applyFont="1" applyFill="1" applyAlignment="1">
      <alignment vertical="center"/>
      <protection/>
    </xf>
    <xf numFmtId="2" fontId="5" fillId="27" borderId="0" xfId="32" applyNumberFormat="1" applyFont="1" applyFill="1" applyAlignment="1">
      <alignment vertical="center"/>
      <protection/>
    </xf>
    <xf numFmtId="0" fontId="40" fillId="27" borderId="0" xfId="32" applyFont="1" applyFill="1" applyAlignment="1">
      <alignment horizontal="right" vertical="center"/>
      <protection/>
    </xf>
    <xf numFmtId="0" fontId="5" fillId="27" borderId="10" xfId="32" applyFill="1" applyBorder="1" applyAlignment="1">
      <alignment horizontal="center" vertical="center" wrapText="1"/>
      <protection/>
    </xf>
    <xf numFmtId="0" fontId="5" fillId="27" borderId="16" xfId="32" applyFill="1" applyBorder="1" applyAlignment="1">
      <alignment horizontal="center" vertical="center"/>
      <protection/>
    </xf>
    <xf numFmtId="0" fontId="74" fillId="27" borderId="0" xfId="32" applyFont="1" applyFill="1" applyAlignment="1">
      <alignment vertical="center"/>
      <protection/>
    </xf>
    <xf numFmtId="0" fontId="75" fillId="0" borderId="10" xfId="32" applyFont="1" applyBorder="1" applyAlignment="1">
      <alignment horizontal="center"/>
      <protection/>
    </xf>
    <xf numFmtId="0" fontId="41" fillId="0" borderId="10" xfId="32" applyFont="1" applyBorder="1" applyAlignment="1">
      <alignment horizontal="left" wrapText="1"/>
      <protection/>
    </xf>
    <xf numFmtId="171" fontId="5" fillId="27" borderId="0" xfId="32" applyNumberFormat="1" applyFill="1" applyAlignment="1">
      <alignment vertical="center"/>
      <protection/>
    </xf>
    <xf numFmtId="3" fontId="5" fillId="26" borderId="10" xfId="0" applyNumberFormat="1" applyFont="1" applyFill="1" applyBorder="1" applyAlignment="1">
      <alignment vertical="center"/>
    </xf>
    <xf numFmtId="0" fontId="45" fillId="26" borderId="0" xfId="28" applyFont="1" applyFill="1" applyBorder="1" applyAlignment="1">
      <alignment horizontal="center"/>
      <protection/>
    </xf>
    <xf numFmtId="4" fontId="58" fillId="25" borderId="10" xfId="28" applyNumberFormat="1" applyFont="1" applyFill="1" applyBorder="1" applyAlignment="1">
      <alignment horizontal="center" shrinkToFit="1"/>
      <protection/>
    </xf>
    <xf numFmtId="0" fontId="57" fillId="24" borderId="10" xfId="0" applyFont="1" applyFill="1" applyBorder="1"/>
    <xf numFmtId="0" fontId="57" fillId="24" borderId="10" xfId="0" applyFont="1" applyFill="1" applyBorder="1" applyAlignment="1">
      <alignment vertical="top" wrapText="1"/>
    </xf>
    <xf numFmtId="172" fontId="57" fillId="24" borderId="10" xfId="0" applyNumberFormat="1" applyFont="1" applyFill="1" applyBorder="1"/>
    <xf numFmtId="165" fontId="57" fillId="0" borderId="0" xfId="0" applyNumberFormat="1" applyFont="1"/>
    <xf numFmtId="0" fontId="57" fillId="29" borderId="10" xfId="0" applyFont="1" applyFill="1" applyBorder="1"/>
    <xf numFmtId="0" fontId="58" fillId="29" borderId="10" xfId="0" applyFont="1" applyFill="1" applyBorder="1"/>
    <xf numFmtId="172" fontId="57" fillId="29" borderId="10" xfId="0" applyNumberFormat="1" applyFont="1" applyFill="1" applyBorder="1"/>
    <xf numFmtId="165" fontId="57" fillId="27" borderId="10" xfId="28" applyNumberFormat="1" applyFont="1" applyFill="1" applyBorder="1" applyAlignment="1" applyProtection="1">
      <alignment shrinkToFit="1"/>
      <protection locked="0"/>
    </xf>
    <xf numFmtId="173" fontId="57" fillId="27" borderId="10" xfId="28" applyNumberFormat="1" applyFont="1" applyFill="1" applyBorder="1" applyAlignment="1" applyProtection="1">
      <alignment shrinkToFit="1"/>
      <protection locked="0"/>
    </xf>
    <xf numFmtId="4" fontId="5" fillId="29" borderId="10" xfId="32" applyNumberFormat="1" applyFill="1" applyBorder="1" applyAlignment="1">
      <alignment vertical="center"/>
      <protection/>
    </xf>
    <xf numFmtId="170" fontId="5" fillId="27" borderId="0" xfId="32" applyNumberFormat="1" applyFill="1" applyBorder="1" applyAlignment="1">
      <alignment vertical="center"/>
      <protection/>
    </xf>
    <xf numFmtId="4" fontId="5" fillId="27" borderId="0" xfId="32" applyNumberFormat="1" applyFill="1" applyBorder="1" applyAlignment="1">
      <alignment vertical="center"/>
      <protection/>
    </xf>
    <xf numFmtId="0" fontId="57" fillId="29" borderId="10" xfId="0" applyFont="1" applyFill="1" applyBorder="1" applyAlignment="1">
      <alignment vertical="top" wrapText="1"/>
    </xf>
    <xf numFmtId="0" fontId="69" fillId="27" borderId="13" xfId="32" applyFont="1" applyFill="1" applyBorder="1" applyAlignment="1">
      <alignment vertical="center"/>
      <protection/>
    </xf>
    <xf numFmtId="0" fontId="69" fillId="27" borderId="17" xfId="32" applyFont="1" applyFill="1" applyBorder="1" applyAlignment="1">
      <alignment vertical="center"/>
      <protection/>
    </xf>
    <xf numFmtId="0" fontId="69" fillId="27" borderId="19" xfId="32" applyFont="1" applyFill="1" applyBorder="1" applyAlignment="1">
      <alignment vertical="center"/>
      <protection/>
    </xf>
    <xf numFmtId="3" fontId="57" fillId="24" borderId="10" xfId="0" applyNumberFormat="1" applyFont="1" applyFill="1" applyBorder="1"/>
    <xf numFmtId="165" fontId="58" fillId="25" borderId="13" xfId="28" applyNumberFormat="1" applyFont="1" applyFill="1" applyBorder="1" applyAlignment="1">
      <alignment horizontal="center" shrinkToFit="1"/>
      <protection/>
    </xf>
    <xf numFmtId="4" fontId="57" fillId="27" borderId="13" xfId="28" applyNumberFormat="1" applyFont="1" applyFill="1" applyBorder="1" applyAlignment="1" applyProtection="1">
      <alignment shrinkToFit="1"/>
      <protection locked="0"/>
    </xf>
    <xf numFmtId="0" fontId="57" fillId="0" borderId="0" xfId="0" applyFont="1" applyBorder="1"/>
    <xf numFmtId="165" fontId="57" fillId="0" borderId="0" xfId="0" applyNumberFormat="1" applyFont="1" applyBorder="1"/>
    <xf numFmtId="4" fontId="79" fillId="0" borderId="0" xfId="0" applyNumberFormat="1" applyFont="1" applyBorder="1" applyAlignment="1">
      <alignment horizontal="right" vertical="center" wrapText="1"/>
    </xf>
    <xf numFmtId="4" fontId="80" fillId="0" borderId="0" xfId="0" applyNumberFormat="1" applyFont="1" applyBorder="1" applyAlignment="1">
      <alignment horizontal="right" vertical="center" wrapText="1"/>
    </xf>
    <xf numFmtId="0" fontId="57" fillId="26" borderId="13" xfId="0" applyFont="1" applyFill="1" applyBorder="1"/>
    <xf numFmtId="165" fontId="57" fillId="27" borderId="13" xfId="28" applyNumberFormat="1" applyFont="1" applyFill="1" applyBorder="1" applyAlignment="1" applyProtection="1">
      <alignment shrinkToFit="1"/>
      <protection locked="0"/>
    </xf>
    <xf numFmtId="165" fontId="57" fillId="0" borderId="20" xfId="0" applyNumberFormat="1" applyFont="1" applyBorder="1"/>
    <xf numFmtId="164" fontId="57" fillId="0" borderId="0" xfId="122" applyFont="1" applyBorder="1" applyAlignment="1">
      <alignment vertical="center" wrapText="1"/>
    </xf>
    <xf numFmtId="164" fontId="57" fillId="0" borderId="0" xfId="122" applyFont="1" applyBorder="1"/>
    <xf numFmtId="172" fontId="57" fillId="0" borderId="0" xfId="0" applyNumberFormat="1" applyFont="1"/>
    <xf numFmtId="0" fontId="0" fillId="27" borderId="20" xfId="32" applyFont="1" applyFill="1" applyBorder="1" applyAlignment="1">
      <alignment horizontal="center" vertical="center"/>
      <protection/>
    </xf>
    <xf numFmtId="0" fontId="0" fillId="27" borderId="21" xfId="32" applyFont="1" applyFill="1" applyBorder="1" applyAlignment="1">
      <alignment horizontal="center" vertical="center"/>
      <protection/>
    </xf>
    <xf numFmtId="0" fontId="0" fillId="27" borderId="22" xfId="32" applyFont="1" applyFill="1" applyBorder="1" applyAlignment="1">
      <alignment horizontal="center" vertical="center"/>
      <protection/>
    </xf>
    <xf numFmtId="0" fontId="5" fillId="27" borderId="13" xfId="32" applyFill="1" applyBorder="1" applyAlignment="1">
      <alignment horizontal="center" vertical="center"/>
      <protection/>
    </xf>
    <xf numFmtId="0" fontId="5" fillId="27" borderId="17" xfId="32" applyFill="1" applyBorder="1" applyAlignment="1">
      <alignment horizontal="center" vertical="center"/>
      <protection/>
    </xf>
    <xf numFmtId="0" fontId="5" fillId="27" borderId="18" xfId="32" applyFill="1" applyBorder="1" applyAlignment="1">
      <alignment horizontal="center" vertical="center"/>
      <protection/>
    </xf>
    <xf numFmtId="0" fontId="72" fillId="27" borderId="20" xfId="32" applyFont="1" applyFill="1" applyBorder="1" applyAlignment="1">
      <alignment horizontal="center" vertical="center" wrapText="1"/>
      <protection/>
    </xf>
    <xf numFmtId="0" fontId="72" fillId="27" borderId="21" xfId="32" applyFont="1" applyFill="1" applyBorder="1" applyAlignment="1">
      <alignment horizontal="center" vertical="center" wrapText="1"/>
      <protection/>
    </xf>
    <xf numFmtId="0" fontId="72" fillId="27" borderId="22" xfId="32" applyFont="1" applyFill="1" applyBorder="1" applyAlignment="1">
      <alignment horizontal="center" vertical="center" wrapText="1"/>
      <protection/>
    </xf>
    <xf numFmtId="0" fontId="69" fillId="27" borderId="23" xfId="32" applyFont="1" applyFill="1" applyBorder="1" applyAlignment="1">
      <alignment horizontal="center" vertical="center"/>
      <protection/>
    </xf>
    <xf numFmtId="0" fontId="69" fillId="27" borderId="24" xfId="32" applyFont="1" applyFill="1" applyBorder="1" applyAlignment="1">
      <alignment horizontal="center" vertical="center"/>
      <protection/>
    </xf>
    <xf numFmtId="0" fontId="69" fillId="27" borderId="25" xfId="32" applyFont="1" applyFill="1" applyBorder="1" applyAlignment="1">
      <alignment horizontal="center" vertical="center"/>
      <protection/>
    </xf>
    <xf numFmtId="0" fontId="69" fillId="0" borderId="26" xfId="32" applyFont="1" applyBorder="1" applyAlignment="1">
      <alignment horizontal="center" vertical="center" wrapText="1"/>
      <protection/>
    </xf>
    <xf numFmtId="0" fontId="69" fillId="0" borderId="27" xfId="32" applyFont="1" applyBorder="1" applyAlignment="1">
      <alignment horizontal="center" vertical="center" wrapText="1"/>
      <protection/>
    </xf>
    <xf numFmtId="0" fontId="69" fillId="0" borderId="28" xfId="32" applyFont="1" applyBorder="1" applyAlignment="1">
      <alignment horizontal="center" vertical="center" wrapText="1"/>
      <protection/>
    </xf>
    <xf numFmtId="0" fontId="69" fillId="0" borderId="29" xfId="32" applyFont="1" applyBorder="1" applyAlignment="1">
      <alignment horizontal="center" vertical="center" wrapText="1"/>
      <protection/>
    </xf>
    <xf numFmtId="0" fontId="69" fillId="0" borderId="30" xfId="32" applyFont="1" applyBorder="1" applyAlignment="1">
      <alignment horizontal="center" vertical="center" wrapText="1"/>
      <protection/>
    </xf>
    <xf numFmtId="0" fontId="69" fillId="0" borderId="31" xfId="32" applyFont="1" applyBorder="1" applyAlignment="1">
      <alignment horizontal="center" vertical="center" wrapText="1"/>
      <protection/>
    </xf>
    <xf numFmtId="0" fontId="69" fillId="27" borderId="13" xfId="32" applyFont="1" applyFill="1" applyBorder="1" applyAlignment="1">
      <alignment horizontal="center" vertical="center"/>
      <protection/>
    </xf>
    <xf numFmtId="0" fontId="69" fillId="27" borderId="17" xfId="32" applyFont="1" applyFill="1" applyBorder="1" applyAlignment="1">
      <alignment horizontal="center" vertical="center"/>
      <protection/>
    </xf>
    <xf numFmtId="0" fontId="69" fillId="27" borderId="19" xfId="32" applyFont="1" applyFill="1" applyBorder="1" applyAlignment="1">
      <alignment horizontal="center" vertical="center"/>
      <protection/>
    </xf>
    <xf numFmtId="0" fontId="69" fillId="27" borderId="26" xfId="32" applyFont="1" applyFill="1" applyBorder="1" applyAlignment="1">
      <alignment horizontal="center" vertical="center" wrapText="1"/>
      <protection/>
    </xf>
    <xf numFmtId="0" fontId="69" fillId="27" borderId="27" xfId="32" applyFont="1" applyFill="1" applyBorder="1" applyAlignment="1">
      <alignment horizontal="center" vertical="center" wrapText="1"/>
      <protection/>
    </xf>
    <xf numFmtId="0" fontId="69" fillId="27" borderId="28" xfId="32" applyFont="1" applyFill="1" applyBorder="1" applyAlignment="1">
      <alignment horizontal="center" vertical="center" wrapText="1"/>
      <protection/>
    </xf>
    <xf numFmtId="0" fontId="69" fillId="27" borderId="29" xfId="32" applyFont="1" applyFill="1" applyBorder="1" applyAlignment="1">
      <alignment horizontal="center" vertical="center" wrapText="1"/>
      <protection/>
    </xf>
    <xf numFmtId="0" fontId="69" fillId="27" borderId="30" xfId="32" applyFont="1" applyFill="1" applyBorder="1" applyAlignment="1">
      <alignment horizontal="center" vertical="center" wrapText="1"/>
      <protection/>
    </xf>
    <xf numFmtId="0" fontId="69" fillId="27" borderId="31" xfId="32" applyFont="1" applyFill="1" applyBorder="1" applyAlignment="1">
      <alignment horizontal="center" vertical="center" wrapText="1"/>
      <protection/>
    </xf>
    <xf numFmtId="0" fontId="69" fillId="27" borderId="32" xfId="32" applyFont="1" applyFill="1" applyBorder="1" applyAlignment="1">
      <alignment horizontal="center" vertical="center" wrapText="1"/>
      <protection/>
    </xf>
    <xf numFmtId="0" fontId="69" fillId="27" borderId="33" xfId="32" applyFont="1" applyFill="1" applyBorder="1" applyAlignment="1">
      <alignment horizontal="center" vertical="center" wrapText="1"/>
      <protection/>
    </xf>
    <xf numFmtId="0" fontId="61" fillId="27" borderId="0" xfId="32" applyFont="1" applyFill="1" applyAlignment="1">
      <alignment horizontal="center" vertical="center" wrapText="1"/>
      <protection/>
    </xf>
    <xf numFmtId="0" fontId="70" fillId="27" borderId="20" xfId="32" applyFont="1" applyFill="1" applyBorder="1" applyAlignment="1">
      <alignment horizontal="left" vertical="center" wrapText="1"/>
      <protection/>
    </xf>
    <xf numFmtId="0" fontId="70" fillId="27" borderId="21" xfId="32" applyFont="1" applyFill="1" applyBorder="1" applyAlignment="1">
      <alignment horizontal="left" vertical="center" wrapText="1"/>
      <protection/>
    </xf>
    <xf numFmtId="0" fontId="70" fillId="27" borderId="22" xfId="32" applyFont="1" applyFill="1" applyBorder="1" applyAlignment="1">
      <alignment horizontal="left" vertical="center" wrapText="1"/>
      <protection/>
    </xf>
    <xf numFmtId="3" fontId="5" fillId="27" borderId="13" xfId="32" applyNumberFormat="1" applyFill="1" applyBorder="1" applyAlignment="1">
      <alignment horizontal="center" vertical="center"/>
      <protection/>
    </xf>
    <xf numFmtId="3" fontId="5" fillId="27" borderId="17" xfId="32" applyNumberFormat="1" applyFill="1" applyBorder="1" applyAlignment="1">
      <alignment horizontal="center" vertical="center"/>
      <protection/>
    </xf>
    <xf numFmtId="3" fontId="5" fillId="27" borderId="18" xfId="32" applyNumberFormat="1" applyFill="1" applyBorder="1" applyAlignment="1">
      <alignment horizontal="center" vertical="center"/>
      <protection/>
    </xf>
    <xf numFmtId="0" fontId="62" fillId="26" borderId="0" xfId="32" applyFont="1" applyFill="1" applyAlignment="1">
      <alignment horizontal="center" vertical="center" wrapText="1"/>
      <protection/>
    </xf>
    <xf numFmtId="0" fontId="60" fillId="27" borderId="0" xfId="32" applyFont="1" applyFill="1" applyAlignment="1">
      <alignment horizontal="center" vertical="center" wrapText="1"/>
      <protection/>
    </xf>
    <xf numFmtId="0" fontId="60" fillId="27" borderId="34" xfId="32" applyFont="1" applyFill="1" applyBorder="1" applyAlignment="1">
      <alignment horizontal="center" vertical="center" wrapText="1"/>
      <protection/>
    </xf>
    <xf numFmtId="0" fontId="60" fillId="27" borderId="30" xfId="32" applyFont="1" applyFill="1" applyBorder="1" applyAlignment="1">
      <alignment horizontal="center" vertical="center" wrapText="1"/>
      <protection/>
    </xf>
    <xf numFmtId="0" fontId="60" fillId="27" borderId="31" xfId="32" applyFont="1" applyFill="1" applyBorder="1" applyAlignment="1">
      <alignment horizontal="center" vertical="center" wrapText="1"/>
      <protection/>
    </xf>
    <xf numFmtId="3" fontId="5" fillId="27" borderId="13" xfId="32" applyNumberFormat="1" applyFont="1" applyFill="1" applyBorder="1" applyAlignment="1">
      <alignment horizontal="center" vertical="center"/>
      <protection/>
    </xf>
    <xf numFmtId="3" fontId="5" fillId="27" borderId="17" xfId="32" applyNumberFormat="1" applyFont="1" applyFill="1" applyBorder="1" applyAlignment="1">
      <alignment horizontal="center" vertical="center"/>
      <protection/>
    </xf>
    <xf numFmtId="3" fontId="5" fillId="27" borderId="18" xfId="32" applyNumberFormat="1" applyFont="1" applyFill="1" applyBorder="1" applyAlignment="1">
      <alignment horizontal="center" vertical="center"/>
      <protection/>
    </xf>
    <xf numFmtId="0" fontId="61" fillId="0" borderId="0" xfId="28" applyFont="1" applyAlignment="1">
      <alignment horizontal="center"/>
      <protection/>
    </xf>
    <xf numFmtId="0" fontId="45" fillId="26" borderId="0" xfId="28" applyFont="1" applyFill="1" applyAlignment="1">
      <alignment horizontal="center"/>
      <protection/>
    </xf>
    <xf numFmtId="49" fontId="58" fillId="24" borderId="10" xfId="28" applyNumberFormat="1" applyFont="1" applyFill="1" applyBorder="1" applyAlignment="1">
      <alignment horizontal="center" vertical="center" wrapText="1"/>
      <protection/>
    </xf>
    <xf numFmtId="1" fontId="57" fillId="0" borderId="20" xfId="28" applyNumberFormat="1" applyFont="1" applyBorder="1" applyAlignment="1">
      <alignment horizontal="center" vertical="center" wrapText="1"/>
      <protection/>
    </xf>
    <xf numFmtId="1" fontId="57" fillId="0" borderId="22" xfId="28" applyNumberFormat="1" applyFont="1" applyBorder="1" applyAlignment="1">
      <alignment horizontal="center" vertical="center" wrapText="1"/>
      <protection/>
    </xf>
    <xf numFmtId="0" fontId="57" fillId="0" borderId="13" xfId="28" applyFont="1" applyBorder="1" applyAlignment="1">
      <alignment horizontal="center" vertical="center" wrapText="1"/>
      <protection/>
    </xf>
    <xf numFmtId="0" fontId="57" fillId="0" borderId="17" xfId="28" applyFont="1" applyBorder="1" applyAlignment="1">
      <alignment horizontal="center" vertical="center" wrapText="1"/>
      <protection/>
    </xf>
    <xf numFmtId="0" fontId="57" fillId="0" borderId="18" xfId="28" applyFont="1" applyBorder="1" applyAlignment="1">
      <alignment horizontal="center" vertical="center" wrapText="1"/>
      <protection/>
    </xf>
    <xf numFmtId="49" fontId="57" fillId="0" borderId="13" xfId="28" applyNumberFormat="1" applyFont="1" applyBorder="1" applyAlignment="1">
      <alignment horizontal="center" vertical="center" wrapText="1"/>
      <protection/>
    </xf>
    <xf numFmtId="49" fontId="57" fillId="0" borderId="17" xfId="28" applyNumberFormat="1" applyFont="1" applyBorder="1" applyAlignment="1">
      <alignment horizontal="center" vertical="center" wrapText="1"/>
      <protection/>
    </xf>
    <xf numFmtId="49" fontId="57" fillId="0" borderId="18" xfId="28" applyNumberFormat="1" applyFont="1" applyBorder="1" applyAlignment="1">
      <alignment horizontal="center" vertical="center" wrapText="1"/>
      <protection/>
    </xf>
    <xf numFmtId="0" fontId="40" fillId="0" borderId="0" xfId="28" applyFont="1" applyAlignment="1">
      <alignment horizontal="center" wrapText="1"/>
      <protection/>
    </xf>
    <xf numFmtId="1" fontId="57" fillId="0" borderId="26" xfId="28" applyNumberFormat="1" applyFont="1" applyFill="1" applyBorder="1" applyAlignment="1">
      <alignment horizontal="center" vertical="center" wrapText="1"/>
      <protection/>
    </xf>
    <xf numFmtId="1" fontId="57" fillId="0" borderId="29" xfId="28" applyNumberFormat="1" applyFont="1" applyFill="1" applyBorder="1" applyAlignment="1">
      <alignment horizontal="center" vertical="center" wrapText="1"/>
      <protection/>
    </xf>
    <xf numFmtId="1" fontId="57" fillId="0" borderId="10" xfId="28" applyNumberFormat="1" applyFont="1" applyFill="1" applyBorder="1" applyAlignment="1">
      <alignment horizontal="center" vertical="center" wrapText="1"/>
      <protection/>
    </xf>
    <xf numFmtId="0" fontId="45" fillId="26" borderId="0" xfId="28" applyFont="1" applyFill="1" applyBorder="1" applyAlignment="1">
      <alignment horizontal="center"/>
      <protection/>
    </xf>
    <xf numFmtId="1" fontId="57" fillId="0" borderId="20" xfId="28" applyNumberFormat="1" applyFont="1" applyFill="1" applyBorder="1" applyAlignment="1">
      <alignment horizontal="center" vertical="center" wrapText="1"/>
      <protection/>
    </xf>
    <xf numFmtId="1" fontId="57" fillId="0" borderId="22" xfId="28" applyNumberFormat="1" applyFont="1" applyFill="1" applyBorder="1" applyAlignment="1">
      <alignment horizontal="center" vertical="center" wrapText="1"/>
      <protection/>
    </xf>
    <xf numFmtId="1" fontId="57" fillId="27" borderId="20" xfId="28" applyNumberFormat="1" applyFont="1" applyFill="1" applyBorder="1" applyAlignment="1">
      <alignment horizontal="center" vertical="center" wrapText="1"/>
      <protection/>
    </xf>
    <xf numFmtId="1" fontId="57" fillId="27" borderId="22" xfId="28" applyNumberFormat="1" applyFont="1" applyFill="1" applyBorder="1" applyAlignment="1">
      <alignment horizontal="center" vertical="center" wrapText="1"/>
      <protection/>
    </xf>
    <xf numFmtId="0" fontId="40" fillId="0" borderId="0" xfId="28" applyFont="1" applyFill="1" applyBorder="1" applyAlignment="1">
      <alignment horizontal="center" wrapText="1"/>
      <protection/>
    </xf>
    <xf numFmtId="0" fontId="46" fillId="0" borderId="0" xfId="28" applyFont="1" applyFill="1" applyAlignment="1">
      <alignment horizontal="center"/>
      <protection/>
    </xf>
    <xf numFmtId="0" fontId="45" fillId="25" borderId="0" xfId="28" applyFont="1" applyFill="1" applyBorder="1" applyAlignment="1">
      <alignment horizontal="center"/>
      <protection/>
    </xf>
    <xf numFmtId="0" fontId="57" fillId="0" borderId="10" xfId="28" applyFont="1" applyFill="1" applyBorder="1" applyAlignment="1">
      <alignment horizontal="center" vertical="center" wrapText="1"/>
      <protection/>
    </xf>
    <xf numFmtId="49" fontId="57" fillId="0" borderId="13" xfId="28" applyNumberFormat="1" applyFont="1" applyFill="1" applyBorder="1" applyAlignment="1">
      <alignment horizontal="center" vertical="center" wrapText="1"/>
      <protection/>
    </xf>
    <xf numFmtId="49" fontId="57" fillId="0" borderId="17" xfId="28" applyNumberFormat="1" applyFont="1" applyFill="1" applyBorder="1" applyAlignment="1">
      <alignment horizontal="center" vertical="center" wrapText="1"/>
      <protection/>
    </xf>
    <xf numFmtId="49" fontId="57" fillId="0" borderId="18" xfId="28" applyNumberFormat="1" applyFont="1" applyFill="1" applyBorder="1" applyAlignment="1">
      <alignment horizontal="center" vertical="center" wrapText="1"/>
      <protection/>
    </xf>
    <xf numFmtId="49" fontId="58" fillId="24" borderId="20" xfId="28" applyNumberFormat="1" applyFont="1" applyFill="1" applyBorder="1" applyAlignment="1">
      <alignment horizontal="center" vertical="center" wrapText="1"/>
      <protection/>
    </xf>
    <xf numFmtId="49" fontId="58" fillId="24" borderId="22" xfId="28" applyNumberFormat="1" applyFont="1" applyFill="1" applyBorder="1" applyAlignment="1">
      <alignment horizontal="center" vertical="center" wrapText="1"/>
      <protection/>
    </xf>
  </cellXfs>
  <cellStyles count="10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0" xfId="21"/>
    <cellStyle name="Currency0" xfId="22"/>
    <cellStyle name="Date" xfId="23"/>
    <cellStyle name="Fixed" xfId="24"/>
    <cellStyle name="Normal 2" xfId="25"/>
    <cellStyle name="Normal_Alexander's Tables" xfId="26"/>
    <cellStyle name="Normal_own-reg-rev" xfId="27"/>
    <cellStyle name="Normal_ФФПМР_ИБР_Ставрополь_2006 4" xfId="28"/>
    <cellStyle name="Обычный_ИНП МР и П 2011 ( УСН 50% НДПИ 25%)" xfId="29"/>
    <cellStyle name="Стиль 1" xfId="30"/>
    <cellStyle name="Обычный 2" xfId="31"/>
    <cellStyle name="Обычный 3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 2" xfId="51"/>
    <cellStyle name="40% - Акцент2 2" xfId="52"/>
    <cellStyle name="40% - Акцент3 2" xfId="53"/>
    <cellStyle name="40% - Акцент4 2" xfId="54"/>
    <cellStyle name="40% - Акцент5 2" xfId="55"/>
    <cellStyle name="40% - Акцент6 2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Акцент1 2" xfId="63"/>
    <cellStyle name="60% - Акцент2 2" xfId="64"/>
    <cellStyle name="60% - Акцент3 2" xfId="65"/>
    <cellStyle name="60% - Акцент4 2" xfId="66"/>
    <cellStyle name="60% - Акцент5 2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 2 2" xfId="78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put" xfId="85"/>
    <cellStyle name="Linked Cell" xfId="86"/>
    <cellStyle name="Neutral" xfId="87"/>
    <cellStyle name="Normal 2 2" xfId="88"/>
    <cellStyle name="Note" xfId="89"/>
    <cellStyle name="Note 2" xfId="90"/>
    <cellStyle name="Output" xfId="91"/>
    <cellStyle name="Title" xfId="92"/>
    <cellStyle name="Total" xfId="93"/>
    <cellStyle name="Warning Text" xfId="94"/>
    <cellStyle name="Акцент1 2" xfId="95"/>
    <cellStyle name="Акцент2 2" xfId="96"/>
    <cellStyle name="Акцент3 2" xfId="97"/>
    <cellStyle name="Акцент4 2" xfId="98"/>
    <cellStyle name="Акцент5 2" xfId="99"/>
    <cellStyle name="Акцент6 2" xfId="100"/>
    <cellStyle name="Ввод  2" xfId="101"/>
    <cellStyle name="Вывод 2" xfId="102"/>
    <cellStyle name="Вычисление 2" xfId="103"/>
    <cellStyle name="Заголовок 1 2" xfId="104"/>
    <cellStyle name="Заголовок 2 2" xfId="105"/>
    <cellStyle name="Заголовок 3 2" xfId="106"/>
    <cellStyle name="Заголовок 4 2" xfId="107"/>
    <cellStyle name="Итог 2" xfId="108"/>
    <cellStyle name="Контрольная ячейка 2" xfId="109"/>
    <cellStyle name="Название 2" xfId="110"/>
    <cellStyle name="Нейтральный 2" xfId="111"/>
    <cellStyle name="Плохой 2" xfId="112"/>
    <cellStyle name="Пояснение 2" xfId="113"/>
    <cellStyle name="Примечание 3" xfId="114"/>
    <cellStyle name="Примечание 2" xfId="115"/>
    <cellStyle name="Процентный 2" xfId="116"/>
    <cellStyle name="Связанная ячейка 2" xfId="117"/>
    <cellStyle name="Текст предупреждения 2" xfId="118"/>
    <cellStyle name="Финансовый 2" xfId="119"/>
    <cellStyle name="Хороший 2" xfId="120"/>
    <cellStyle name="Процентный" xfId="121"/>
    <cellStyle name="Финансовый" xfId="12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209550</xdr:colOff>
      <xdr:row>11</xdr:row>
      <xdr:rowOff>57150</xdr:rowOff>
    </xdr:from>
    <xdr:ext cx="609600" cy="2476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7820025" y="4886325"/>
              <a:ext cx="609600" cy="2476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7820025" y="4886325"/>
              <a:ext cx="609600" cy="2476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228600</xdr:colOff>
      <xdr:row>11</xdr:row>
      <xdr:rowOff>66675</xdr:rowOff>
    </xdr:from>
    <xdr:ext cx="561975" cy="2190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12934950" y="4895850"/>
              <a:ext cx="561975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12934950" y="4895850"/>
              <a:ext cx="561975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180975</xdr:colOff>
      <xdr:row>11</xdr:row>
      <xdr:rowOff>76200</xdr:rowOff>
    </xdr:from>
    <xdr:ext cx="419100" cy="2190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22755225" y="4905375"/>
              <a:ext cx="419100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22755225" y="4905375"/>
              <a:ext cx="419100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152400</xdr:colOff>
      <xdr:row>11</xdr:row>
      <xdr:rowOff>85725</xdr:rowOff>
    </xdr:from>
    <xdr:ext cx="619125" cy="2190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17335500" y="4914900"/>
              <a:ext cx="619125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17335500" y="4914900"/>
              <a:ext cx="619125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3</xdr:col>
      <xdr:colOff>200025</xdr:colOff>
      <xdr:row>11</xdr:row>
      <xdr:rowOff>38100</xdr:rowOff>
    </xdr:from>
    <xdr:ext cx="723900" cy="2667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/>
            <xdr:cNvSpPr txBox="1"/>
          </xdr:nvSpPr>
          <xdr:spPr>
            <a:xfrm>
              <a:off x="3981450" y="4867275"/>
              <a:ext cx="723900" cy="2667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6" name="TextBox 5"/>
            <xdr:cNvSpPr txBox="1"/>
          </xdr:nvSpPr>
          <xdr:spPr>
            <a:xfrm>
              <a:off x="3981450" y="4867275"/>
              <a:ext cx="723900" cy="2667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4</xdr:col>
      <xdr:colOff>161925</xdr:colOff>
      <xdr:row>11</xdr:row>
      <xdr:rowOff>66675</xdr:rowOff>
    </xdr:from>
    <xdr:ext cx="847725" cy="2857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4895850" y="4895850"/>
              <a:ext cx="847725" cy="2857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4895850" y="4895850"/>
              <a:ext cx="847725" cy="2857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5</xdr:col>
      <xdr:colOff>228600</xdr:colOff>
      <xdr:row>11</xdr:row>
      <xdr:rowOff>57150</xdr:rowOff>
    </xdr:from>
    <xdr:ext cx="514350" cy="2571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/>
            <xdr:cNvSpPr txBox="1"/>
          </xdr:nvSpPr>
          <xdr:spPr>
            <a:xfrm>
              <a:off x="6048375" y="4886325"/>
              <a:ext cx="514350" cy="2571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8" name="TextBox 7"/>
            <xdr:cNvSpPr txBox="1"/>
          </xdr:nvSpPr>
          <xdr:spPr>
            <a:xfrm>
              <a:off x="6048375" y="4886325"/>
              <a:ext cx="514350" cy="2571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7</xdr:col>
      <xdr:colOff>161925</xdr:colOff>
      <xdr:row>5</xdr:row>
      <xdr:rowOff>104775</xdr:rowOff>
    </xdr:from>
    <xdr:ext cx="590550" cy="2190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/>
            <xdr:cNvSpPr txBox="1"/>
          </xdr:nvSpPr>
          <xdr:spPr>
            <a:xfrm>
              <a:off x="7772400" y="2000250"/>
              <a:ext cx="590550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9" name="TextBox 8"/>
            <xdr:cNvSpPr txBox="1"/>
          </xdr:nvSpPr>
          <xdr:spPr>
            <a:xfrm>
              <a:off x="7772400" y="2000250"/>
              <a:ext cx="590550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9</xdr:col>
      <xdr:colOff>114300</xdr:colOff>
      <xdr:row>11</xdr:row>
      <xdr:rowOff>66675</xdr:rowOff>
    </xdr:from>
    <xdr:ext cx="714375" cy="2381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/>
            <xdr:cNvSpPr txBox="1"/>
          </xdr:nvSpPr>
          <xdr:spPr>
            <a:xfrm>
              <a:off x="9267825" y="4895850"/>
              <a:ext cx="714375" cy="2381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0" name="TextBox 9"/>
            <xdr:cNvSpPr txBox="1"/>
          </xdr:nvSpPr>
          <xdr:spPr>
            <a:xfrm>
              <a:off x="9267825" y="4895850"/>
              <a:ext cx="714375" cy="2381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10</xdr:col>
      <xdr:colOff>0</xdr:colOff>
      <xdr:row>11</xdr:row>
      <xdr:rowOff>66675</xdr:rowOff>
    </xdr:from>
    <xdr:ext cx="847725" cy="2857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0"/>
            <xdr:cNvSpPr txBox="1"/>
          </xdr:nvSpPr>
          <xdr:spPr>
            <a:xfrm>
              <a:off x="10153650" y="4895850"/>
              <a:ext cx="847725" cy="2857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1" name="TextBox 10"/>
            <xdr:cNvSpPr txBox="1"/>
          </xdr:nvSpPr>
          <xdr:spPr>
            <a:xfrm>
              <a:off x="10153650" y="4895850"/>
              <a:ext cx="847725" cy="2857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11</xdr:col>
      <xdr:colOff>209550</xdr:colOff>
      <xdr:row>11</xdr:row>
      <xdr:rowOff>57150</xdr:rowOff>
    </xdr:from>
    <xdr:ext cx="447675" cy="2286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/>
            <xdr:cNvSpPr txBox="1"/>
          </xdr:nvSpPr>
          <xdr:spPr>
            <a:xfrm>
              <a:off x="11249025" y="4886325"/>
              <a:ext cx="447675" cy="2286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2" name="TextBox 11"/>
            <xdr:cNvSpPr txBox="1"/>
          </xdr:nvSpPr>
          <xdr:spPr>
            <a:xfrm>
              <a:off x="11249025" y="4886325"/>
              <a:ext cx="447675" cy="2286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5</xdr:row>
      <xdr:rowOff>114300</xdr:rowOff>
    </xdr:from>
    <xdr:ext cx="590550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Box 12"/>
            <xdr:cNvSpPr txBox="1"/>
          </xdr:nvSpPr>
          <xdr:spPr>
            <a:xfrm>
              <a:off x="12801600" y="2009775"/>
              <a:ext cx="590550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3" name="TextBox 12"/>
            <xdr:cNvSpPr txBox="1"/>
          </xdr:nvSpPr>
          <xdr:spPr>
            <a:xfrm>
              <a:off x="12801600" y="2009775"/>
              <a:ext cx="590550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5</xdr:row>
      <xdr:rowOff>114300</xdr:rowOff>
    </xdr:from>
    <xdr:ext cx="590550" cy="2190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Box 13"/>
            <xdr:cNvSpPr txBox="1"/>
          </xdr:nvSpPr>
          <xdr:spPr>
            <a:xfrm>
              <a:off x="17278350" y="2009775"/>
              <a:ext cx="590550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4" name="TextBox 13"/>
            <xdr:cNvSpPr txBox="1"/>
          </xdr:nvSpPr>
          <xdr:spPr>
            <a:xfrm>
              <a:off x="17278350" y="2009775"/>
              <a:ext cx="590550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38100</xdr:colOff>
      <xdr:row>5</xdr:row>
      <xdr:rowOff>123825</xdr:rowOff>
    </xdr:from>
    <xdr:ext cx="590550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TextBox 14"/>
            <xdr:cNvSpPr txBox="1"/>
          </xdr:nvSpPr>
          <xdr:spPr>
            <a:xfrm>
              <a:off x="22612350" y="2019300"/>
              <a:ext cx="590550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5" name="TextBox 14"/>
            <xdr:cNvSpPr txBox="1"/>
          </xdr:nvSpPr>
          <xdr:spPr>
            <a:xfrm>
              <a:off x="22612350" y="2019300"/>
              <a:ext cx="590550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15</xdr:col>
      <xdr:colOff>209550</xdr:colOff>
      <xdr:row>11</xdr:row>
      <xdr:rowOff>57150</xdr:rowOff>
    </xdr:from>
    <xdr:ext cx="714375" cy="2476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Box 15"/>
            <xdr:cNvSpPr txBox="1"/>
          </xdr:nvSpPr>
          <xdr:spPr>
            <a:xfrm>
              <a:off x="14458950" y="4886325"/>
              <a:ext cx="714375" cy="2476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6" name="TextBox 15"/>
            <xdr:cNvSpPr txBox="1"/>
          </xdr:nvSpPr>
          <xdr:spPr>
            <a:xfrm>
              <a:off x="14458950" y="4886325"/>
              <a:ext cx="714375" cy="2476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16</xdr:col>
      <xdr:colOff>38100</xdr:colOff>
      <xdr:row>11</xdr:row>
      <xdr:rowOff>66675</xdr:rowOff>
    </xdr:from>
    <xdr:ext cx="847725" cy="2857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TextBox 16"/>
            <xdr:cNvSpPr txBox="1"/>
          </xdr:nvSpPr>
          <xdr:spPr>
            <a:xfrm>
              <a:off x="15373350" y="4895850"/>
              <a:ext cx="847725" cy="2857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7" name="TextBox 16"/>
            <xdr:cNvSpPr txBox="1"/>
          </xdr:nvSpPr>
          <xdr:spPr>
            <a:xfrm>
              <a:off x="15373350" y="4895850"/>
              <a:ext cx="847725" cy="2857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304800</xdr:colOff>
      <xdr:row>11</xdr:row>
      <xdr:rowOff>38100</xdr:rowOff>
    </xdr:from>
    <xdr:ext cx="714375" cy="2381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TextBox 17"/>
            <xdr:cNvSpPr txBox="1"/>
          </xdr:nvSpPr>
          <xdr:spPr>
            <a:xfrm>
              <a:off x="19030950" y="4867275"/>
              <a:ext cx="714375" cy="2381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8" name="TextBox 17"/>
            <xdr:cNvSpPr txBox="1"/>
          </xdr:nvSpPr>
          <xdr:spPr>
            <a:xfrm>
              <a:off x="19030950" y="4867275"/>
              <a:ext cx="714375" cy="2381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1209675</xdr:colOff>
      <xdr:row>11</xdr:row>
      <xdr:rowOff>47625</xdr:rowOff>
    </xdr:from>
    <xdr:ext cx="847725" cy="2857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TextBox 18"/>
            <xdr:cNvSpPr txBox="1"/>
          </xdr:nvSpPr>
          <xdr:spPr>
            <a:xfrm>
              <a:off x="19935825" y="4876800"/>
              <a:ext cx="847725" cy="2857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9" name="TextBox 18"/>
            <xdr:cNvSpPr txBox="1"/>
          </xdr:nvSpPr>
          <xdr:spPr>
            <a:xfrm>
              <a:off x="19935825" y="4876800"/>
              <a:ext cx="847725" cy="2857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22</xdr:col>
      <xdr:colOff>238125</xdr:colOff>
      <xdr:row>11</xdr:row>
      <xdr:rowOff>47625</xdr:rowOff>
    </xdr:from>
    <xdr:ext cx="419100" cy="2286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TextBox 19"/>
            <xdr:cNvSpPr txBox="1"/>
          </xdr:nvSpPr>
          <xdr:spPr>
            <a:xfrm>
              <a:off x="21107400" y="4876800"/>
              <a:ext cx="419100" cy="2286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20" name="TextBox 19"/>
            <xdr:cNvSpPr txBox="1"/>
          </xdr:nvSpPr>
          <xdr:spPr>
            <a:xfrm>
              <a:off x="21107400" y="4876800"/>
              <a:ext cx="419100" cy="2286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14</xdr:col>
      <xdr:colOff>66675</xdr:colOff>
      <xdr:row>2</xdr:row>
      <xdr:rowOff>38100</xdr:rowOff>
    </xdr:from>
    <xdr:ext cx="2543175" cy="6572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TextBox 20"/>
            <xdr:cNvSpPr txBox="1"/>
          </xdr:nvSpPr>
          <xdr:spPr>
            <a:xfrm>
              <a:off x="13544550" y="704850"/>
              <a:ext cx="2543175" cy="6572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21" name="TextBox 20"/>
            <xdr:cNvSpPr txBox="1"/>
          </xdr:nvSpPr>
          <xdr:spPr>
            <a:xfrm>
              <a:off x="13544550" y="704850"/>
              <a:ext cx="2543175" cy="6572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209550</xdr:colOff>
      <xdr:row>11</xdr:row>
      <xdr:rowOff>57150</xdr:rowOff>
    </xdr:from>
    <xdr:ext cx="609600" cy="2476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TextBox 21"/>
            <xdr:cNvSpPr txBox="1"/>
          </xdr:nvSpPr>
          <xdr:spPr>
            <a:xfrm>
              <a:off x="7820025" y="4886325"/>
              <a:ext cx="609600" cy="2476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22" name="TextBox 21"/>
            <xdr:cNvSpPr txBox="1"/>
          </xdr:nvSpPr>
          <xdr:spPr>
            <a:xfrm>
              <a:off x="7820025" y="4886325"/>
              <a:ext cx="609600" cy="2476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228600</xdr:colOff>
      <xdr:row>11</xdr:row>
      <xdr:rowOff>66675</xdr:rowOff>
    </xdr:from>
    <xdr:ext cx="561975" cy="2190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TextBox 22"/>
            <xdr:cNvSpPr txBox="1"/>
          </xdr:nvSpPr>
          <xdr:spPr>
            <a:xfrm>
              <a:off x="12934950" y="4895850"/>
              <a:ext cx="561975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23" name="TextBox 22"/>
            <xdr:cNvSpPr txBox="1"/>
          </xdr:nvSpPr>
          <xdr:spPr>
            <a:xfrm>
              <a:off x="12934950" y="4895850"/>
              <a:ext cx="561975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180975</xdr:colOff>
      <xdr:row>11</xdr:row>
      <xdr:rowOff>76200</xdr:rowOff>
    </xdr:from>
    <xdr:ext cx="419100" cy="2190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TextBox 23"/>
            <xdr:cNvSpPr txBox="1"/>
          </xdr:nvSpPr>
          <xdr:spPr>
            <a:xfrm>
              <a:off x="22755225" y="4905375"/>
              <a:ext cx="419100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24" name="TextBox 23"/>
            <xdr:cNvSpPr txBox="1"/>
          </xdr:nvSpPr>
          <xdr:spPr>
            <a:xfrm>
              <a:off x="22755225" y="4905375"/>
              <a:ext cx="419100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152400</xdr:colOff>
      <xdr:row>11</xdr:row>
      <xdr:rowOff>85725</xdr:rowOff>
    </xdr:from>
    <xdr:ext cx="619125" cy="2190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TextBox 24"/>
            <xdr:cNvSpPr txBox="1"/>
          </xdr:nvSpPr>
          <xdr:spPr>
            <a:xfrm>
              <a:off x="17335500" y="4914900"/>
              <a:ext cx="619125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25" name="TextBox 24"/>
            <xdr:cNvSpPr txBox="1"/>
          </xdr:nvSpPr>
          <xdr:spPr>
            <a:xfrm>
              <a:off x="17335500" y="4914900"/>
              <a:ext cx="619125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3</xdr:col>
      <xdr:colOff>200025</xdr:colOff>
      <xdr:row>11</xdr:row>
      <xdr:rowOff>38100</xdr:rowOff>
    </xdr:from>
    <xdr:ext cx="723900" cy="2667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TextBox 25"/>
            <xdr:cNvSpPr txBox="1"/>
          </xdr:nvSpPr>
          <xdr:spPr>
            <a:xfrm>
              <a:off x="3981450" y="4867275"/>
              <a:ext cx="723900" cy="2667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26" name="TextBox 25"/>
            <xdr:cNvSpPr txBox="1"/>
          </xdr:nvSpPr>
          <xdr:spPr>
            <a:xfrm>
              <a:off x="3981450" y="4867275"/>
              <a:ext cx="723900" cy="2667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4</xdr:col>
      <xdr:colOff>161925</xdr:colOff>
      <xdr:row>11</xdr:row>
      <xdr:rowOff>66675</xdr:rowOff>
    </xdr:from>
    <xdr:ext cx="847725" cy="2857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TextBox 26"/>
            <xdr:cNvSpPr txBox="1"/>
          </xdr:nvSpPr>
          <xdr:spPr>
            <a:xfrm>
              <a:off x="4895850" y="4895850"/>
              <a:ext cx="847725" cy="2857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27" name="TextBox 26"/>
            <xdr:cNvSpPr txBox="1"/>
          </xdr:nvSpPr>
          <xdr:spPr>
            <a:xfrm>
              <a:off x="4895850" y="4895850"/>
              <a:ext cx="847725" cy="2857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5</xdr:col>
      <xdr:colOff>228600</xdr:colOff>
      <xdr:row>11</xdr:row>
      <xdr:rowOff>57150</xdr:rowOff>
    </xdr:from>
    <xdr:ext cx="514350" cy="2571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TextBox 27"/>
            <xdr:cNvSpPr txBox="1"/>
          </xdr:nvSpPr>
          <xdr:spPr>
            <a:xfrm>
              <a:off x="6048375" y="4886325"/>
              <a:ext cx="514350" cy="2571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28" name="TextBox 27"/>
            <xdr:cNvSpPr txBox="1"/>
          </xdr:nvSpPr>
          <xdr:spPr>
            <a:xfrm>
              <a:off x="6048375" y="4886325"/>
              <a:ext cx="514350" cy="2571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7</xdr:col>
      <xdr:colOff>161925</xdr:colOff>
      <xdr:row>5</xdr:row>
      <xdr:rowOff>104775</xdr:rowOff>
    </xdr:from>
    <xdr:ext cx="590550" cy="2190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TextBox 28"/>
            <xdr:cNvSpPr txBox="1"/>
          </xdr:nvSpPr>
          <xdr:spPr>
            <a:xfrm>
              <a:off x="7772400" y="2000250"/>
              <a:ext cx="590550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29" name="TextBox 28"/>
            <xdr:cNvSpPr txBox="1"/>
          </xdr:nvSpPr>
          <xdr:spPr>
            <a:xfrm>
              <a:off x="7772400" y="2000250"/>
              <a:ext cx="590550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9</xdr:col>
      <xdr:colOff>114300</xdr:colOff>
      <xdr:row>11</xdr:row>
      <xdr:rowOff>66675</xdr:rowOff>
    </xdr:from>
    <xdr:ext cx="714375" cy="2381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" name="TextBox 29"/>
            <xdr:cNvSpPr txBox="1"/>
          </xdr:nvSpPr>
          <xdr:spPr>
            <a:xfrm>
              <a:off x="9267825" y="4895850"/>
              <a:ext cx="714375" cy="2381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30" name="TextBox 29"/>
            <xdr:cNvSpPr txBox="1"/>
          </xdr:nvSpPr>
          <xdr:spPr>
            <a:xfrm>
              <a:off x="9267825" y="4895850"/>
              <a:ext cx="714375" cy="2381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10</xdr:col>
      <xdr:colOff>0</xdr:colOff>
      <xdr:row>11</xdr:row>
      <xdr:rowOff>66675</xdr:rowOff>
    </xdr:from>
    <xdr:ext cx="847725" cy="2857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TextBox 30"/>
            <xdr:cNvSpPr txBox="1"/>
          </xdr:nvSpPr>
          <xdr:spPr>
            <a:xfrm>
              <a:off x="10153650" y="4895850"/>
              <a:ext cx="847725" cy="2857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31" name="TextBox 30"/>
            <xdr:cNvSpPr txBox="1"/>
          </xdr:nvSpPr>
          <xdr:spPr>
            <a:xfrm>
              <a:off x="10153650" y="4895850"/>
              <a:ext cx="847725" cy="2857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11</xdr:col>
      <xdr:colOff>209550</xdr:colOff>
      <xdr:row>11</xdr:row>
      <xdr:rowOff>57150</xdr:rowOff>
    </xdr:from>
    <xdr:ext cx="447675" cy="2286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TextBox 31"/>
            <xdr:cNvSpPr txBox="1"/>
          </xdr:nvSpPr>
          <xdr:spPr>
            <a:xfrm>
              <a:off x="11249025" y="4886325"/>
              <a:ext cx="447675" cy="2286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32" name="TextBox 31"/>
            <xdr:cNvSpPr txBox="1"/>
          </xdr:nvSpPr>
          <xdr:spPr>
            <a:xfrm>
              <a:off x="11249025" y="4886325"/>
              <a:ext cx="447675" cy="2286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5</xdr:row>
      <xdr:rowOff>114300</xdr:rowOff>
    </xdr:from>
    <xdr:ext cx="590550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3" name="TextBox 32"/>
            <xdr:cNvSpPr txBox="1"/>
          </xdr:nvSpPr>
          <xdr:spPr>
            <a:xfrm>
              <a:off x="12801600" y="2009775"/>
              <a:ext cx="590550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33" name="TextBox 32"/>
            <xdr:cNvSpPr txBox="1"/>
          </xdr:nvSpPr>
          <xdr:spPr>
            <a:xfrm>
              <a:off x="12801600" y="2009775"/>
              <a:ext cx="590550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5</xdr:row>
      <xdr:rowOff>114300</xdr:rowOff>
    </xdr:from>
    <xdr:ext cx="590550" cy="2190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4" name="TextBox 33"/>
            <xdr:cNvSpPr txBox="1"/>
          </xdr:nvSpPr>
          <xdr:spPr>
            <a:xfrm>
              <a:off x="17278350" y="2009775"/>
              <a:ext cx="590550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34" name="TextBox 33"/>
            <xdr:cNvSpPr txBox="1"/>
          </xdr:nvSpPr>
          <xdr:spPr>
            <a:xfrm>
              <a:off x="17278350" y="2009775"/>
              <a:ext cx="590550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38100</xdr:colOff>
      <xdr:row>5</xdr:row>
      <xdr:rowOff>123825</xdr:rowOff>
    </xdr:from>
    <xdr:ext cx="590550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TextBox 34"/>
            <xdr:cNvSpPr txBox="1"/>
          </xdr:nvSpPr>
          <xdr:spPr>
            <a:xfrm>
              <a:off x="22612350" y="2019300"/>
              <a:ext cx="590550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35" name="TextBox 34"/>
            <xdr:cNvSpPr txBox="1"/>
          </xdr:nvSpPr>
          <xdr:spPr>
            <a:xfrm>
              <a:off x="22612350" y="2019300"/>
              <a:ext cx="590550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15</xdr:col>
      <xdr:colOff>209550</xdr:colOff>
      <xdr:row>11</xdr:row>
      <xdr:rowOff>57150</xdr:rowOff>
    </xdr:from>
    <xdr:ext cx="714375" cy="2476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6" name="TextBox 35"/>
            <xdr:cNvSpPr txBox="1"/>
          </xdr:nvSpPr>
          <xdr:spPr>
            <a:xfrm>
              <a:off x="14458950" y="4886325"/>
              <a:ext cx="714375" cy="2476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36" name="TextBox 35"/>
            <xdr:cNvSpPr txBox="1"/>
          </xdr:nvSpPr>
          <xdr:spPr>
            <a:xfrm>
              <a:off x="14458950" y="4886325"/>
              <a:ext cx="714375" cy="2476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16</xdr:col>
      <xdr:colOff>38100</xdr:colOff>
      <xdr:row>11</xdr:row>
      <xdr:rowOff>66675</xdr:rowOff>
    </xdr:from>
    <xdr:ext cx="847725" cy="2857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TextBox 36"/>
            <xdr:cNvSpPr txBox="1"/>
          </xdr:nvSpPr>
          <xdr:spPr>
            <a:xfrm>
              <a:off x="15373350" y="4895850"/>
              <a:ext cx="847725" cy="2857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37" name="TextBox 36"/>
            <xdr:cNvSpPr txBox="1"/>
          </xdr:nvSpPr>
          <xdr:spPr>
            <a:xfrm>
              <a:off x="15373350" y="4895850"/>
              <a:ext cx="847725" cy="2857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304800</xdr:colOff>
      <xdr:row>11</xdr:row>
      <xdr:rowOff>38100</xdr:rowOff>
    </xdr:from>
    <xdr:ext cx="714375" cy="2381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8" name="TextBox 37"/>
            <xdr:cNvSpPr txBox="1"/>
          </xdr:nvSpPr>
          <xdr:spPr>
            <a:xfrm>
              <a:off x="19030950" y="4867275"/>
              <a:ext cx="714375" cy="2381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38" name="TextBox 37"/>
            <xdr:cNvSpPr txBox="1"/>
          </xdr:nvSpPr>
          <xdr:spPr>
            <a:xfrm>
              <a:off x="19030950" y="4867275"/>
              <a:ext cx="714375" cy="2381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1209675</xdr:colOff>
      <xdr:row>11</xdr:row>
      <xdr:rowOff>47625</xdr:rowOff>
    </xdr:from>
    <xdr:ext cx="847725" cy="2857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TextBox 38"/>
            <xdr:cNvSpPr txBox="1"/>
          </xdr:nvSpPr>
          <xdr:spPr>
            <a:xfrm>
              <a:off x="19935825" y="4876800"/>
              <a:ext cx="847725" cy="2857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39" name="TextBox 38"/>
            <xdr:cNvSpPr txBox="1"/>
          </xdr:nvSpPr>
          <xdr:spPr>
            <a:xfrm>
              <a:off x="19935825" y="4876800"/>
              <a:ext cx="847725" cy="2857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22</xdr:col>
      <xdr:colOff>238125</xdr:colOff>
      <xdr:row>11</xdr:row>
      <xdr:rowOff>47625</xdr:rowOff>
    </xdr:from>
    <xdr:ext cx="419100" cy="2286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TextBox 39"/>
            <xdr:cNvSpPr txBox="1"/>
          </xdr:nvSpPr>
          <xdr:spPr>
            <a:xfrm>
              <a:off x="21107400" y="4876800"/>
              <a:ext cx="419100" cy="2286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40" name="TextBox 39"/>
            <xdr:cNvSpPr txBox="1"/>
          </xdr:nvSpPr>
          <xdr:spPr>
            <a:xfrm>
              <a:off x="21107400" y="4876800"/>
              <a:ext cx="419100" cy="2286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14</xdr:col>
      <xdr:colOff>66675</xdr:colOff>
      <xdr:row>2</xdr:row>
      <xdr:rowOff>38100</xdr:rowOff>
    </xdr:from>
    <xdr:ext cx="2543175" cy="6572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TextBox 40"/>
            <xdr:cNvSpPr txBox="1"/>
          </xdr:nvSpPr>
          <xdr:spPr>
            <a:xfrm>
              <a:off x="13544550" y="704850"/>
              <a:ext cx="2543175" cy="6572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41" name="TextBox 40"/>
            <xdr:cNvSpPr txBox="1"/>
          </xdr:nvSpPr>
          <xdr:spPr>
            <a:xfrm>
              <a:off x="13544550" y="704850"/>
              <a:ext cx="2543175" cy="6572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161925</xdr:colOff>
      <xdr:row>8</xdr:row>
      <xdr:rowOff>0</xdr:rowOff>
    </xdr:from>
    <xdr:ext cx="590550" cy="2190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TextBox 41"/>
            <xdr:cNvSpPr txBox="1"/>
          </xdr:nvSpPr>
          <xdr:spPr>
            <a:xfrm>
              <a:off x="7772400" y="3209925"/>
              <a:ext cx="590550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42" name="TextBox 41"/>
            <xdr:cNvSpPr txBox="1"/>
          </xdr:nvSpPr>
          <xdr:spPr>
            <a:xfrm>
              <a:off x="7772400" y="3209925"/>
              <a:ext cx="590550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8</xdr:row>
      <xdr:rowOff>0</xdr:rowOff>
    </xdr:from>
    <xdr:ext cx="590550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TextBox 42"/>
            <xdr:cNvSpPr txBox="1"/>
          </xdr:nvSpPr>
          <xdr:spPr>
            <a:xfrm>
              <a:off x="12801600" y="3209925"/>
              <a:ext cx="590550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43" name="TextBox 42"/>
            <xdr:cNvSpPr txBox="1"/>
          </xdr:nvSpPr>
          <xdr:spPr>
            <a:xfrm>
              <a:off x="12801600" y="3209925"/>
              <a:ext cx="590550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8</xdr:row>
      <xdr:rowOff>0</xdr:rowOff>
    </xdr:from>
    <xdr:ext cx="590550" cy="2190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TextBox 43"/>
            <xdr:cNvSpPr txBox="1"/>
          </xdr:nvSpPr>
          <xdr:spPr>
            <a:xfrm>
              <a:off x="17278350" y="3209925"/>
              <a:ext cx="590550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44" name="TextBox 43"/>
            <xdr:cNvSpPr txBox="1"/>
          </xdr:nvSpPr>
          <xdr:spPr>
            <a:xfrm>
              <a:off x="17278350" y="3209925"/>
              <a:ext cx="590550" cy="219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38100</xdr:colOff>
      <xdr:row>8</xdr:row>
      <xdr:rowOff>0</xdr:rowOff>
    </xdr:from>
    <xdr:ext cx="590550" cy="209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5" name="TextBox 44"/>
            <xdr:cNvSpPr txBox="1"/>
          </xdr:nvSpPr>
          <xdr:spPr>
            <a:xfrm>
              <a:off x="22612350" y="3209925"/>
              <a:ext cx="590550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45" name="TextBox 44"/>
            <xdr:cNvSpPr txBox="1"/>
          </xdr:nvSpPr>
          <xdr:spPr>
            <a:xfrm>
              <a:off x="22612350" y="3209925"/>
              <a:ext cx="590550" cy="2095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k214_1\LOCALS~1\Temp\Rar$DI84.5235\&#1060;&#1060;&#1055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6"/>
  <sheetViews>
    <sheetView view="pageBreakPreview" zoomScale="75" zoomScaleSheetLayoutView="75" workbookViewId="0" topLeftCell="A1">
      <pane xSplit="3" ySplit="13" topLeftCell="D14" activePane="bottomRight" state="frozen"/>
      <selection pane="topRight" activeCell="C1" sqref="C1"/>
      <selection pane="bottomLeft" activeCell="A6" sqref="A6"/>
      <selection pane="bottomRight" activeCell="B22" sqref="B22"/>
    </sheetView>
  </sheetViews>
  <sheetFormatPr defaultColWidth="9.140625" defaultRowHeight="12.75"/>
  <cols>
    <col min="1" max="1" width="9.28125" style="120" bestFit="1" customWidth="1"/>
    <col min="2" max="2" width="31.57421875" style="121" customWidth="1"/>
    <col min="3" max="3" width="15.8515625" style="121" customWidth="1"/>
    <col min="4" max="4" width="14.28125" style="122" customWidth="1"/>
    <col min="5" max="5" width="16.28125" style="123" bestFit="1" customWidth="1"/>
    <col min="6" max="6" width="15.28125" style="123" customWidth="1"/>
    <col min="7" max="9" width="11.57421875" style="123" bestFit="1" customWidth="1"/>
    <col min="10" max="10" width="15.00390625" style="123" customWidth="1"/>
    <col min="11" max="11" width="13.28125" style="124" customWidth="1"/>
    <col min="12" max="12" width="13.421875" style="123" customWidth="1"/>
    <col min="13" max="15" width="11.57421875" style="123" bestFit="1" customWidth="1"/>
    <col min="16" max="16" width="16.28125" style="123" customWidth="1"/>
    <col min="17" max="17" width="16.140625" style="123" customWidth="1"/>
    <col min="18" max="20" width="11.57421875" style="120" bestFit="1" customWidth="1"/>
    <col min="21" max="21" width="18.421875" style="120" bestFit="1" customWidth="1"/>
    <col min="22" max="22" width="13.7109375" style="120" customWidth="1"/>
    <col min="23" max="23" width="14.00390625" style="120" customWidth="1"/>
    <col min="24" max="26" width="11.57421875" style="120" bestFit="1" customWidth="1"/>
    <col min="27" max="29" width="12.57421875" style="120" bestFit="1" customWidth="1"/>
    <col min="30" max="33" width="10.421875" style="120" customWidth="1"/>
    <col min="34" max="35" width="12.00390625" style="120" bestFit="1" customWidth="1"/>
    <col min="36" max="36" width="12.140625" style="120" customWidth="1"/>
    <col min="37" max="37" width="24.7109375" style="120" customWidth="1"/>
    <col min="38" max="38" width="19.7109375" style="120" customWidth="1"/>
    <col min="39" max="269" width="9.140625" style="120" customWidth="1"/>
    <col min="270" max="270" width="18.140625" style="120" customWidth="1"/>
    <col min="271" max="271" width="9.140625" style="120" hidden="1" customWidth="1"/>
    <col min="272" max="272" width="25.8515625" style="120" customWidth="1"/>
    <col min="273" max="273" width="31.57421875" style="120" customWidth="1"/>
    <col min="274" max="274" width="13.140625" style="120" bestFit="1" customWidth="1"/>
    <col min="275" max="275" width="17.421875" style="120" customWidth="1"/>
    <col min="276" max="276" width="18.421875" style="120" customWidth="1"/>
    <col min="277" max="277" width="11.7109375" style="120" customWidth="1"/>
    <col min="278" max="278" width="11.8515625" style="120" customWidth="1"/>
    <col min="279" max="279" width="13.421875" style="120" customWidth="1"/>
    <col min="280" max="280" width="13.140625" style="120" bestFit="1" customWidth="1"/>
    <col min="281" max="281" width="15.00390625" style="120" customWidth="1"/>
    <col min="282" max="282" width="15.57421875" style="120" customWidth="1"/>
    <col min="283" max="283" width="15.28125" style="120" customWidth="1"/>
    <col min="284" max="284" width="13.421875" style="120" customWidth="1"/>
    <col min="285" max="285" width="15.57421875" style="120" customWidth="1"/>
    <col min="286" max="525" width="9.140625" style="120" customWidth="1"/>
    <col min="526" max="526" width="18.140625" style="120" customWidth="1"/>
    <col min="527" max="527" width="9.140625" style="120" hidden="1" customWidth="1"/>
    <col min="528" max="528" width="25.8515625" style="120" customWidth="1"/>
    <col min="529" max="529" width="31.57421875" style="120" customWidth="1"/>
    <col min="530" max="530" width="13.140625" style="120" bestFit="1" customWidth="1"/>
    <col min="531" max="531" width="17.421875" style="120" customWidth="1"/>
    <col min="532" max="532" width="18.421875" style="120" customWidth="1"/>
    <col min="533" max="533" width="11.7109375" style="120" customWidth="1"/>
    <col min="534" max="534" width="11.8515625" style="120" customWidth="1"/>
    <col min="535" max="535" width="13.421875" style="120" customWidth="1"/>
    <col min="536" max="536" width="13.140625" style="120" bestFit="1" customWidth="1"/>
    <col min="537" max="537" width="15.00390625" style="120" customWidth="1"/>
    <col min="538" max="538" width="15.57421875" style="120" customWidth="1"/>
    <col min="539" max="539" width="15.28125" style="120" customWidth="1"/>
    <col min="540" max="540" width="13.421875" style="120" customWidth="1"/>
    <col min="541" max="541" width="15.57421875" style="120" customWidth="1"/>
    <col min="542" max="781" width="9.140625" style="120" customWidth="1"/>
    <col min="782" max="782" width="18.140625" style="120" customWidth="1"/>
    <col min="783" max="783" width="9.140625" style="120" hidden="1" customWidth="1"/>
    <col min="784" max="784" width="25.8515625" style="120" customWidth="1"/>
    <col min="785" max="785" width="31.57421875" style="120" customWidth="1"/>
    <col min="786" max="786" width="13.140625" style="120" bestFit="1" customWidth="1"/>
    <col min="787" max="787" width="17.421875" style="120" customWidth="1"/>
    <col min="788" max="788" width="18.421875" style="120" customWidth="1"/>
    <col min="789" max="789" width="11.7109375" style="120" customWidth="1"/>
    <col min="790" max="790" width="11.8515625" style="120" customWidth="1"/>
    <col min="791" max="791" width="13.421875" style="120" customWidth="1"/>
    <col min="792" max="792" width="13.140625" style="120" bestFit="1" customWidth="1"/>
    <col min="793" max="793" width="15.00390625" style="120" customWidth="1"/>
    <col min="794" max="794" width="15.57421875" style="120" customWidth="1"/>
    <col min="795" max="795" width="15.28125" style="120" customWidth="1"/>
    <col min="796" max="796" width="13.421875" style="120" customWidth="1"/>
    <col min="797" max="797" width="15.57421875" style="120" customWidth="1"/>
    <col min="798" max="1037" width="9.140625" style="120" customWidth="1"/>
    <col min="1038" max="1038" width="18.140625" style="120" customWidth="1"/>
    <col min="1039" max="1039" width="9.140625" style="120" hidden="1" customWidth="1"/>
    <col min="1040" max="1040" width="25.8515625" style="120" customWidth="1"/>
    <col min="1041" max="1041" width="31.57421875" style="120" customWidth="1"/>
    <col min="1042" max="1042" width="13.140625" style="120" bestFit="1" customWidth="1"/>
    <col min="1043" max="1043" width="17.421875" style="120" customWidth="1"/>
    <col min="1044" max="1044" width="18.421875" style="120" customWidth="1"/>
    <col min="1045" max="1045" width="11.7109375" style="120" customWidth="1"/>
    <col min="1046" max="1046" width="11.8515625" style="120" customWidth="1"/>
    <col min="1047" max="1047" width="13.421875" style="120" customWidth="1"/>
    <col min="1048" max="1048" width="13.140625" style="120" bestFit="1" customWidth="1"/>
    <col min="1049" max="1049" width="15.00390625" style="120" customWidth="1"/>
    <col min="1050" max="1050" width="15.57421875" style="120" customWidth="1"/>
    <col min="1051" max="1051" width="15.28125" style="120" customWidth="1"/>
    <col min="1052" max="1052" width="13.421875" style="120" customWidth="1"/>
    <col min="1053" max="1053" width="15.57421875" style="120" customWidth="1"/>
    <col min="1054" max="1293" width="9.140625" style="120" customWidth="1"/>
    <col min="1294" max="1294" width="18.140625" style="120" customWidth="1"/>
    <col min="1295" max="1295" width="9.140625" style="120" hidden="1" customWidth="1"/>
    <col min="1296" max="1296" width="25.8515625" style="120" customWidth="1"/>
    <col min="1297" max="1297" width="31.57421875" style="120" customWidth="1"/>
    <col min="1298" max="1298" width="13.140625" style="120" bestFit="1" customWidth="1"/>
    <col min="1299" max="1299" width="17.421875" style="120" customWidth="1"/>
    <col min="1300" max="1300" width="18.421875" style="120" customWidth="1"/>
    <col min="1301" max="1301" width="11.7109375" style="120" customWidth="1"/>
    <col min="1302" max="1302" width="11.8515625" style="120" customWidth="1"/>
    <col min="1303" max="1303" width="13.421875" style="120" customWidth="1"/>
    <col min="1304" max="1304" width="13.140625" style="120" bestFit="1" customWidth="1"/>
    <col min="1305" max="1305" width="15.00390625" style="120" customWidth="1"/>
    <col min="1306" max="1306" width="15.57421875" style="120" customWidth="1"/>
    <col min="1307" max="1307" width="15.28125" style="120" customWidth="1"/>
    <col min="1308" max="1308" width="13.421875" style="120" customWidth="1"/>
    <col min="1309" max="1309" width="15.57421875" style="120" customWidth="1"/>
    <col min="1310" max="1549" width="9.140625" style="120" customWidth="1"/>
    <col min="1550" max="1550" width="18.140625" style="120" customWidth="1"/>
    <col min="1551" max="1551" width="9.140625" style="120" hidden="1" customWidth="1"/>
    <col min="1552" max="1552" width="25.8515625" style="120" customWidth="1"/>
    <col min="1553" max="1553" width="31.57421875" style="120" customWidth="1"/>
    <col min="1554" max="1554" width="13.140625" style="120" bestFit="1" customWidth="1"/>
    <col min="1555" max="1555" width="17.421875" style="120" customWidth="1"/>
    <col min="1556" max="1556" width="18.421875" style="120" customWidth="1"/>
    <col min="1557" max="1557" width="11.7109375" style="120" customWidth="1"/>
    <col min="1558" max="1558" width="11.8515625" style="120" customWidth="1"/>
    <col min="1559" max="1559" width="13.421875" style="120" customWidth="1"/>
    <col min="1560" max="1560" width="13.140625" style="120" bestFit="1" customWidth="1"/>
    <col min="1561" max="1561" width="15.00390625" style="120" customWidth="1"/>
    <col min="1562" max="1562" width="15.57421875" style="120" customWidth="1"/>
    <col min="1563" max="1563" width="15.28125" style="120" customWidth="1"/>
    <col min="1564" max="1564" width="13.421875" style="120" customWidth="1"/>
    <col min="1565" max="1565" width="15.57421875" style="120" customWidth="1"/>
    <col min="1566" max="1805" width="9.140625" style="120" customWidth="1"/>
    <col min="1806" max="1806" width="18.140625" style="120" customWidth="1"/>
    <col min="1807" max="1807" width="9.140625" style="120" hidden="1" customWidth="1"/>
    <col min="1808" max="1808" width="25.8515625" style="120" customWidth="1"/>
    <col min="1809" max="1809" width="31.57421875" style="120" customWidth="1"/>
    <col min="1810" max="1810" width="13.140625" style="120" bestFit="1" customWidth="1"/>
    <col min="1811" max="1811" width="17.421875" style="120" customWidth="1"/>
    <col min="1812" max="1812" width="18.421875" style="120" customWidth="1"/>
    <col min="1813" max="1813" width="11.7109375" style="120" customWidth="1"/>
    <col min="1814" max="1814" width="11.8515625" style="120" customWidth="1"/>
    <col min="1815" max="1815" width="13.421875" style="120" customWidth="1"/>
    <col min="1816" max="1816" width="13.140625" style="120" bestFit="1" customWidth="1"/>
    <col min="1817" max="1817" width="15.00390625" style="120" customWidth="1"/>
    <col min="1818" max="1818" width="15.57421875" style="120" customWidth="1"/>
    <col min="1819" max="1819" width="15.28125" style="120" customWidth="1"/>
    <col min="1820" max="1820" width="13.421875" style="120" customWidth="1"/>
    <col min="1821" max="1821" width="15.57421875" style="120" customWidth="1"/>
    <col min="1822" max="2061" width="9.140625" style="120" customWidth="1"/>
    <col min="2062" max="2062" width="18.140625" style="120" customWidth="1"/>
    <col min="2063" max="2063" width="9.140625" style="120" hidden="1" customWidth="1"/>
    <col min="2064" max="2064" width="25.8515625" style="120" customWidth="1"/>
    <col min="2065" max="2065" width="31.57421875" style="120" customWidth="1"/>
    <col min="2066" max="2066" width="13.140625" style="120" bestFit="1" customWidth="1"/>
    <col min="2067" max="2067" width="17.421875" style="120" customWidth="1"/>
    <col min="2068" max="2068" width="18.421875" style="120" customWidth="1"/>
    <col min="2069" max="2069" width="11.7109375" style="120" customWidth="1"/>
    <col min="2070" max="2070" width="11.8515625" style="120" customWidth="1"/>
    <col min="2071" max="2071" width="13.421875" style="120" customWidth="1"/>
    <col min="2072" max="2072" width="13.140625" style="120" bestFit="1" customWidth="1"/>
    <col min="2073" max="2073" width="15.00390625" style="120" customWidth="1"/>
    <col min="2074" max="2074" width="15.57421875" style="120" customWidth="1"/>
    <col min="2075" max="2075" width="15.28125" style="120" customWidth="1"/>
    <col min="2076" max="2076" width="13.421875" style="120" customWidth="1"/>
    <col min="2077" max="2077" width="15.57421875" style="120" customWidth="1"/>
    <col min="2078" max="2317" width="9.140625" style="120" customWidth="1"/>
    <col min="2318" max="2318" width="18.140625" style="120" customWidth="1"/>
    <col min="2319" max="2319" width="9.140625" style="120" hidden="1" customWidth="1"/>
    <col min="2320" max="2320" width="25.8515625" style="120" customWidth="1"/>
    <col min="2321" max="2321" width="31.57421875" style="120" customWidth="1"/>
    <col min="2322" max="2322" width="13.140625" style="120" bestFit="1" customWidth="1"/>
    <col min="2323" max="2323" width="17.421875" style="120" customWidth="1"/>
    <col min="2324" max="2324" width="18.421875" style="120" customWidth="1"/>
    <col min="2325" max="2325" width="11.7109375" style="120" customWidth="1"/>
    <col min="2326" max="2326" width="11.8515625" style="120" customWidth="1"/>
    <col min="2327" max="2327" width="13.421875" style="120" customWidth="1"/>
    <col min="2328" max="2328" width="13.140625" style="120" bestFit="1" customWidth="1"/>
    <col min="2329" max="2329" width="15.00390625" style="120" customWidth="1"/>
    <col min="2330" max="2330" width="15.57421875" style="120" customWidth="1"/>
    <col min="2331" max="2331" width="15.28125" style="120" customWidth="1"/>
    <col min="2332" max="2332" width="13.421875" style="120" customWidth="1"/>
    <col min="2333" max="2333" width="15.57421875" style="120" customWidth="1"/>
    <col min="2334" max="2573" width="9.140625" style="120" customWidth="1"/>
    <col min="2574" max="2574" width="18.140625" style="120" customWidth="1"/>
    <col min="2575" max="2575" width="9.140625" style="120" hidden="1" customWidth="1"/>
    <col min="2576" max="2576" width="25.8515625" style="120" customWidth="1"/>
    <col min="2577" max="2577" width="31.57421875" style="120" customWidth="1"/>
    <col min="2578" max="2578" width="13.140625" style="120" bestFit="1" customWidth="1"/>
    <col min="2579" max="2579" width="17.421875" style="120" customWidth="1"/>
    <col min="2580" max="2580" width="18.421875" style="120" customWidth="1"/>
    <col min="2581" max="2581" width="11.7109375" style="120" customWidth="1"/>
    <col min="2582" max="2582" width="11.8515625" style="120" customWidth="1"/>
    <col min="2583" max="2583" width="13.421875" style="120" customWidth="1"/>
    <col min="2584" max="2584" width="13.140625" style="120" bestFit="1" customWidth="1"/>
    <col min="2585" max="2585" width="15.00390625" style="120" customWidth="1"/>
    <col min="2586" max="2586" width="15.57421875" style="120" customWidth="1"/>
    <col min="2587" max="2587" width="15.28125" style="120" customWidth="1"/>
    <col min="2588" max="2588" width="13.421875" style="120" customWidth="1"/>
    <col min="2589" max="2589" width="15.57421875" style="120" customWidth="1"/>
    <col min="2590" max="2829" width="9.140625" style="120" customWidth="1"/>
    <col min="2830" max="2830" width="18.140625" style="120" customWidth="1"/>
    <col min="2831" max="2831" width="9.140625" style="120" hidden="1" customWidth="1"/>
    <col min="2832" max="2832" width="25.8515625" style="120" customWidth="1"/>
    <col min="2833" max="2833" width="31.57421875" style="120" customWidth="1"/>
    <col min="2834" max="2834" width="13.140625" style="120" bestFit="1" customWidth="1"/>
    <col min="2835" max="2835" width="17.421875" style="120" customWidth="1"/>
    <col min="2836" max="2836" width="18.421875" style="120" customWidth="1"/>
    <col min="2837" max="2837" width="11.7109375" style="120" customWidth="1"/>
    <col min="2838" max="2838" width="11.8515625" style="120" customWidth="1"/>
    <col min="2839" max="2839" width="13.421875" style="120" customWidth="1"/>
    <col min="2840" max="2840" width="13.140625" style="120" bestFit="1" customWidth="1"/>
    <col min="2841" max="2841" width="15.00390625" style="120" customWidth="1"/>
    <col min="2842" max="2842" width="15.57421875" style="120" customWidth="1"/>
    <col min="2843" max="2843" width="15.28125" style="120" customWidth="1"/>
    <col min="2844" max="2844" width="13.421875" style="120" customWidth="1"/>
    <col min="2845" max="2845" width="15.57421875" style="120" customWidth="1"/>
    <col min="2846" max="3085" width="9.140625" style="120" customWidth="1"/>
    <col min="3086" max="3086" width="18.140625" style="120" customWidth="1"/>
    <col min="3087" max="3087" width="9.140625" style="120" hidden="1" customWidth="1"/>
    <col min="3088" max="3088" width="25.8515625" style="120" customWidth="1"/>
    <col min="3089" max="3089" width="31.57421875" style="120" customWidth="1"/>
    <col min="3090" max="3090" width="13.140625" style="120" bestFit="1" customWidth="1"/>
    <col min="3091" max="3091" width="17.421875" style="120" customWidth="1"/>
    <col min="3092" max="3092" width="18.421875" style="120" customWidth="1"/>
    <col min="3093" max="3093" width="11.7109375" style="120" customWidth="1"/>
    <col min="3094" max="3094" width="11.8515625" style="120" customWidth="1"/>
    <col min="3095" max="3095" width="13.421875" style="120" customWidth="1"/>
    <col min="3096" max="3096" width="13.140625" style="120" bestFit="1" customWidth="1"/>
    <col min="3097" max="3097" width="15.00390625" style="120" customWidth="1"/>
    <col min="3098" max="3098" width="15.57421875" style="120" customWidth="1"/>
    <col min="3099" max="3099" width="15.28125" style="120" customWidth="1"/>
    <col min="3100" max="3100" width="13.421875" style="120" customWidth="1"/>
    <col min="3101" max="3101" width="15.57421875" style="120" customWidth="1"/>
    <col min="3102" max="3341" width="9.140625" style="120" customWidth="1"/>
    <col min="3342" max="3342" width="18.140625" style="120" customWidth="1"/>
    <col min="3343" max="3343" width="9.140625" style="120" hidden="1" customWidth="1"/>
    <col min="3344" max="3344" width="25.8515625" style="120" customWidth="1"/>
    <col min="3345" max="3345" width="31.57421875" style="120" customWidth="1"/>
    <col min="3346" max="3346" width="13.140625" style="120" bestFit="1" customWidth="1"/>
    <col min="3347" max="3347" width="17.421875" style="120" customWidth="1"/>
    <col min="3348" max="3348" width="18.421875" style="120" customWidth="1"/>
    <col min="3349" max="3349" width="11.7109375" style="120" customWidth="1"/>
    <col min="3350" max="3350" width="11.8515625" style="120" customWidth="1"/>
    <col min="3351" max="3351" width="13.421875" style="120" customWidth="1"/>
    <col min="3352" max="3352" width="13.140625" style="120" bestFit="1" customWidth="1"/>
    <col min="3353" max="3353" width="15.00390625" style="120" customWidth="1"/>
    <col min="3354" max="3354" width="15.57421875" style="120" customWidth="1"/>
    <col min="3355" max="3355" width="15.28125" style="120" customWidth="1"/>
    <col min="3356" max="3356" width="13.421875" style="120" customWidth="1"/>
    <col min="3357" max="3357" width="15.57421875" style="120" customWidth="1"/>
    <col min="3358" max="3597" width="9.140625" style="120" customWidth="1"/>
    <col min="3598" max="3598" width="18.140625" style="120" customWidth="1"/>
    <col min="3599" max="3599" width="9.140625" style="120" hidden="1" customWidth="1"/>
    <col min="3600" max="3600" width="25.8515625" style="120" customWidth="1"/>
    <col min="3601" max="3601" width="31.57421875" style="120" customWidth="1"/>
    <col min="3602" max="3602" width="13.140625" style="120" bestFit="1" customWidth="1"/>
    <col min="3603" max="3603" width="17.421875" style="120" customWidth="1"/>
    <col min="3604" max="3604" width="18.421875" style="120" customWidth="1"/>
    <col min="3605" max="3605" width="11.7109375" style="120" customWidth="1"/>
    <col min="3606" max="3606" width="11.8515625" style="120" customWidth="1"/>
    <col min="3607" max="3607" width="13.421875" style="120" customWidth="1"/>
    <col min="3608" max="3608" width="13.140625" style="120" bestFit="1" customWidth="1"/>
    <col min="3609" max="3609" width="15.00390625" style="120" customWidth="1"/>
    <col min="3610" max="3610" width="15.57421875" style="120" customWidth="1"/>
    <col min="3611" max="3611" width="15.28125" style="120" customWidth="1"/>
    <col min="3612" max="3612" width="13.421875" style="120" customWidth="1"/>
    <col min="3613" max="3613" width="15.57421875" style="120" customWidth="1"/>
    <col min="3614" max="3853" width="9.140625" style="120" customWidth="1"/>
    <col min="3854" max="3854" width="18.140625" style="120" customWidth="1"/>
    <col min="3855" max="3855" width="9.140625" style="120" hidden="1" customWidth="1"/>
    <col min="3856" max="3856" width="25.8515625" style="120" customWidth="1"/>
    <col min="3857" max="3857" width="31.57421875" style="120" customWidth="1"/>
    <col min="3858" max="3858" width="13.140625" style="120" bestFit="1" customWidth="1"/>
    <col min="3859" max="3859" width="17.421875" style="120" customWidth="1"/>
    <col min="3860" max="3860" width="18.421875" style="120" customWidth="1"/>
    <col min="3861" max="3861" width="11.7109375" style="120" customWidth="1"/>
    <col min="3862" max="3862" width="11.8515625" style="120" customWidth="1"/>
    <col min="3863" max="3863" width="13.421875" style="120" customWidth="1"/>
    <col min="3864" max="3864" width="13.140625" style="120" bestFit="1" customWidth="1"/>
    <col min="3865" max="3865" width="15.00390625" style="120" customWidth="1"/>
    <col min="3866" max="3866" width="15.57421875" style="120" customWidth="1"/>
    <col min="3867" max="3867" width="15.28125" style="120" customWidth="1"/>
    <col min="3868" max="3868" width="13.421875" style="120" customWidth="1"/>
    <col min="3869" max="3869" width="15.57421875" style="120" customWidth="1"/>
    <col min="3870" max="4109" width="9.140625" style="120" customWidth="1"/>
    <col min="4110" max="4110" width="18.140625" style="120" customWidth="1"/>
    <col min="4111" max="4111" width="9.140625" style="120" hidden="1" customWidth="1"/>
    <col min="4112" max="4112" width="25.8515625" style="120" customWidth="1"/>
    <col min="4113" max="4113" width="31.57421875" style="120" customWidth="1"/>
    <col min="4114" max="4114" width="13.140625" style="120" bestFit="1" customWidth="1"/>
    <col min="4115" max="4115" width="17.421875" style="120" customWidth="1"/>
    <col min="4116" max="4116" width="18.421875" style="120" customWidth="1"/>
    <col min="4117" max="4117" width="11.7109375" style="120" customWidth="1"/>
    <col min="4118" max="4118" width="11.8515625" style="120" customWidth="1"/>
    <col min="4119" max="4119" width="13.421875" style="120" customWidth="1"/>
    <col min="4120" max="4120" width="13.140625" style="120" bestFit="1" customWidth="1"/>
    <col min="4121" max="4121" width="15.00390625" style="120" customWidth="1"/>
    <col min="4122" max="4122" width="15.57421875" style="120" customWidth="1"/>
    <col min="4123" max="4123" width="15.28125" style="120" customWidth="1"/>
    <col min="4124" max="4124" width="13.421875" style="120" customWidth="1"/>
    <col min="4125" max="4125" width="15.57421875" style="120" customWidth="1"/>
    <col min="4126" max="4365" width="9.140625" style="120" customWidth="1"/>
    <col min="4366" max="4366" width="18.140625" style="120" customWidth="1"/>
    <col min="4367" max="4367" width="9.140625" style="120" hidden="1" customWidth="1"/>
    <col min="4368" max="4368" width="25.8515625" style="120" customWidth="1"/>
    <col min="4369" max="4369" width="31.57421875" style="120" customWidth="1"/>
    <col min="4370" max="4370" width="13.140625" style="120" bestFit="1" customWidth="1"/>
    <col min="4371" max="4371" width="17.421875" style="120" customWidth="1"/>
    <col min="4372" max="4372" width="18.421875" style="120" customWidth="1"/>
    <col min="4373" max="4373" width="11.7109375" style="120" customWidth="1"/>
    <col min="4374" max="4374" width="11.8515625" style="120" customWidth="1"/>
    <col min="4375" max="4375" width="13.421875" style="120" customWidth="1"/>
    <col min="4376" max="4376" width="13.140625" style="120" bestFit="1" customWidth="1"/>
    <col min="4377" max="4377" width="15.00390625" style="120" customWidth="1"/>
    <col min="4378" max="4378" width="15.57421875" style="120" customWidth="1"/>
    <col min="4379" max="4379" width="15.28125" style="120" customWidth="1"/>
    <col min="4380" max="4380" width="13.421875" style="120" customWidth="1"/>
    <col min="4381" max="4381" width="15.57421875" style="120" customWidth="1"/>
    <col min="4382" max="4621" width="9.140625" style="120" customWidth="1"/>
    <col min="4622" max="4622" width="18.140625" style="120" customWidth="1"/>
    <col min="4623" max="4623" width="9.140625" style="120" hidden="1" customWidth="1"/>
    <col min="4624" max="4624" width="25.8515625" style="120" customWidth="1"/>
    <col min="4625" max="4625" width="31.57421875" style="120" customWidth="1"/>
    <col min="4626" max="4626" width="13.140625" style="120" bestFit="1" customWidth="1"/>
    <col min="4627" max="4627" width="17.421875" style="120" customWidth="1"/>
    <col min="4628" max="4628" width="18.421875" style="120" customWidth="1"/>
    <col min="4629" max="4629" width="11.7109375" style="120" customWidth="1"/>
    <col min="4630" max="4630" width="11.8515625" style="120" customWidth="1"/>
    <col min="4631" max="4631" width="13.421875" style="120" customWidth="1"/>
    <col min="4632" max="4632" width="13.140625" style="120" bestFit="1" customWidth="1"/>
    <col min="4633" max="4633" width="15.00390625" style="120" customWidth="1"/>
    <col min="4634" max="4634" width="15.57421875" style="120" customWidth="1"/>
    <col min="4635" max="4635" width="15.28125" style="120" customWidth="1"/>
    <col min="4636" max="4636" width="13.421875" style="120" customWidth="1"/>
    <col min="4637" max="4637" width="15.57421875" style="120" customWidth="1"/>
    <col min="4638" max="4877" width="9.140625" style="120" customWidth="1"/>
    <col min="4878" max="4878" width="18.140625" style="120" customWidth="1"/>
    <col min="4879" max="4879" width="9.140625" style="120" hidden="1" customWidth="1"/>
    <col min="4880" max="4880" width="25.8515625" style="120" customWidth="1"/>
    <col min="4881" max="4881" width="31.57421875" style="120" customWidth="1"/>
    <col min="4882" max="4882" width="13.140625" style="120" bestFit="1" customWidth="1"/>
    <col min="4883" max="4883" width="17.421875" style="120" customWidth="1"/>
    <col min="4884" max="4884" width="18.421875" style="120" customWidth="1"/>
    <col min="4885" max="4885" width="11.7109375" style="120" customWidth="1"/>
    <col min="4886" max="4886" width="11.8515625" style="120" customWidth="1"/>
    <col min="4887" max="4887" width="13.421875" style="120" customWidth="1"/>
    <col min="4888" max="4888" width="13.140625" style="120" bestFit="1" customWidth="1"/>
    <col min="4889" max="4889" width="15.00390625" style="120" customWidth="1"/>
    <col min="4890" max="4890" width="15.57421875" style="120" customWidth="1"/>
    <col min="4891" max="4891" width="15.28125" style="120" customWidth="1"/>
    <col min="4892" max="4892" width="13.421875" style="120" customWidth="1"/>
    <col min="4893" max="4893" width="15.57421875" style="120" customWidth="1"/>
    <col min="4894" max="5133" width="9.140625" style="120" customWidth="1"/>
    <col min="5134" max="5134" width="18.140625" style="120" customWidth="1"/>
    <col min="5135" max="5135" width="9.140625" style="120" hidden="1" customWidth="1"/>
    <col min="5136" max="5136" width="25.8515625" style="120" customWidth="1"/>
    <col min="5137" max="5137" width="31.57421875" style="120" customWidth="1"/>
    <col min="5138" max="5138" width="13.140625" style="120" bestFit="1" customWidth="1"/>
    <col min="5139" max="5139" width="17.421875" style="120" customWidth="1"/>
    <col min="5140" max="5140" width="18.421875" style="120" customWidth="1"/>
    <col min="5141" max="5141" width="11.7109375" style="120" customWidth="1"/>
    <col min="5142" max="5142" width="11.8515625" style="120" customWidth="1"/>
    <col min="5143" max="5143" width="13.421875" style="120" customWidth="1"/>
    <col min="5144" max="5144" width="13.140625" style="120" bestFit="1" customWidth="1"/>
    <col min="5145" max="5145" width="15.00390625" style="120" customWidth="1"/>
    <col min="5146" max="5146" width="15.57421875" style="120" customWidth="1"/>
    <col min="5147" max="5147" width="15.28125" style="120" customWidth="1"/>
    <col min="5148" max="5148" width="13.421875" style="120" customWidth="1"/>
    <col min="5149" max="5149" width="15.57421875" style="120" customWidth="1"/>
    <col min="5150" max="5389" width="9.140625" style="120" customWidth="1"/>
    <col min="5390" max="5390" width="18.140625" style="120" customWidth="1"/>
    <col min="5391" max="5391" width="9.140625" style="120" hidden="1" customWidth="1"/>
    <col min="5392" max="5392" width="25.8515625" style="120" customWidth="1"/>
    <col min="5393" max="5393" width="31.57421875" style="120" customWidth="1"/>
    <col min="5394" max="5394" width="13.140625" style="120" bestFit="1" customWidth="1"/>
    <col min="5395" max="5395" width="17.421875" style="120" customWidth="1"/>
    <col min="5396" max="5396" width="18.421875" style="120" customWidth="1"/>
    <col min="5397" max="5397" width="11.7109375" style="120" customWidth="1"/>
    <col min="5398" max="5398" width="11.8515625" style="120" customWidth="1"/>
    <col min="5399" max="5399" width="13.421875" style="120" customWidth="1"/>
    <col min="5400" max="5400" width="13.140625" style="120" bestFit="1" customWidth="1"/>
    <col min="5401" max="5401" width="15.00390625" style="120" customWidth="1"/>
    <col min="5402" max="5402" width="15.57421875" style="120" customWidth="1"/>
    <col min="5403" max="5403" width="15.28125" style="120" customWidth="1"/>
    <col min="5404" max="5404" width="13.421875" style="120" customWidth="1"/>
    <col min="5405" max="5405" width="15.57421875" style="120" customWidth="1"/>
    <col min="5406" max="5645" width="9.140625" style="120" customWidth="1"/>
    <col min="5646" max="5646" width="18.140625" style="120" customWidth="1"/>
    <col min="5647" max="5647" width="9.140625" style="120" hidden="1" customWidth="1"/>
    <col min="5648" max="5648" width="25.8515625" style="120" customWidth="1"/>
    <col min="5649" max="5649" width="31.57421875" style="120" customWidth="1"/>
    <col min="5650" max="5650" width="13.140625" style="120" bestFit="1" customWidth="1"/>
    <col min="5651" max="5651" width="17.421875" style="120" customWidth="1"/>
    <col min="5652" max="5652" width="18.421875" style="120" customWidth="1"/>
    <col min="5653" max="5653" width="11.7109375" style="120" customWidth="1"/>
    <col min="5654" max="5654" width="11.8515625" style="120" customWidth="1"/>
    <col min="5655" max="5655" width="13.421875" style="120" customWidth="1"/>
    <col min="5656" max="5656" width="13.140625" style="120" bestFit="1" customWidth="1"/>
    <col min="5657" max="5657" width="15.00390625" style="120" customWidth="1"/>
    <col min="5658" max="5658" width="15.57421875" style="120" customWidth="1"/>
    <col min="5659" max="5659" width="15.28125" style="120" customWidth="1"/>
    <col min="5660" max="5660" width="13.421875" style="120" customWidth="1"/>
    <col min="5661" max="5661" width="15.57421875" style="120" customWidth="1"/>
    <col min="5662" max="5901" width="9.140625" style="120" customWidth="1"/>
    <col min="5902" max="5902" width="18.140625" style="120" customWidth="1"/>
    <col min="5903" max="5903" width="9.140625" style="120" hidden="1" customWidth="1"/>
    <col min="5904" max="5904" width="25.8515625" style="120" customWidth="1"/>
    <col min="5905" max="5905" width="31.57421875" style="120" customWidth="1"/>
    <col min="5906" max="5906" width="13.140625" style="120" bestFit="1" customWidth="1"/>
    <col min="5907" max="5907" width="17.421875" style="120" customWidth="1"/>
    <col min="5908" max="5908" width="18.421875" style="120" customWidth="1"/>
    <col min="5909" max="5909" width="11.7109375" style="120" customWidth="1"/>
    <col min="5910" max="5910" width="11.8515625" style="120" customWidth="1"/>
    <col min="5911" max="5911" width="13.421875" style="120" customWidth="1"/>
    <col min="5912" max="5912" width="13.140625" style="120" bestFit="1" customWidth="1"/>
    <col min="5913" max="5913" width="15.00390625" style="120" customWidth="1"/>
    <col min="5914" max="5914" width="15.57421875" style="120" customWidth="1"/>
    <col min="5915" max="5915" width="15.28125" style="120" customWidth="1"/>
    <col min="5916" max="5916" width="13.421875" style="120" customWidth="1"/>
    <col min="5917" max="5917" width="15.57421875" style="120" customWidth="1"/>
    <col min="5918" max="6157" width="9.140625" style="120" customWidth="1"/>
    <col min="6158" max="6158" width="18.140625" style="120" customWidth="1"/>
    <col min="6159" max="6159" width="9.140625" style="120" hidden="1" customWidth="1"/>
    <col min="6160" max="6160" width="25.8515625" style="120" customWidth="1"/>
    <col min="6161" max="6161" width="31.57421875" style="120" customWidth="1"/>
    <col min="6162" max="6162" width="13.140625" style="120" bestFit="1" customWidth="1"/>
    <col min="6163" max="6163" width="17.421875" style="120" customWidth="1"/>
    <col min="6164" max="6164" width="18.421875" style="120" customWidth="1"/>
    <col min="6165" max="6165" width="11.7109375" style="120" customWidth="1"/>
    <col min="6166" max="6166" width="11.8515625" style="120" customWidth="1"/>
    <col min="6167" max="6167" width="13.421875" style="120" customWidth="1"/>
    <col min="6168" max="6168" width="13.140625" style="120" bestFit="1" customWidth="1"/>
    <col min="6169" max="6169" width="15.00390625" style="120" customWidth="1"/>
    <col min="6170" max="6170" width="15.57421875" style="120" customWidth="1"/>
    <col min="6171" max="6171" width="15.28125" style="120" customWidth="1"/>
    <col min="6172" max="6172" width="13.421875" style="120" customWidth="1"/>
    <col min="6173" max="6173" width="15.57421875" style="120" customWidth="1"/>
    <col min="6174" max="6413" width="9.140625" style="120" customWidth="1"/>
    <col min="6414" max="6414" width="18.140625" style="120" customWidth="1"/>
    <col min="6415" max="6415" width="9.140625" style="120" hidden="1" customWidth="1"/>
    <col min="6416" max="6416" width="25.8515625" style="120" customWidth="1"/>
    <col min="6417" max="6417" width="31.57421875" style="120" customWidth="1"/>
    <col min="6418" max="6418" width="13.140625" style="120" bestFit="1" customWidth="1"/>
    <col min="6419" max="6419" width="17.421875" style="120" customWidth="1"/>
    <col min="6420" max="6420" width="18.421875" style="120" customWidth="1"/>
    <col min="6421" max="6421" width="11.7109375" style="120" customWidth="1"/>
    <col min="6422" max="6422" width="11.8515625" style="120" customWidth="1"/>
    <col min="6423" max="6423" width="13.421875" style="120" customWidth="1"/>
    <col min="6424" max="6424" width="13.140625" style="120" bestFit="1" customWidth="1"/>
    <col min="6425" max="6425" width="15.00390625" style="120" customWidth="1"/>
    <col min="6426" max="6426" width="15.57421875" style="120" customWidth="1"/>
    <col min="6427" max="6427" width="15.28125" style="120" customWidth="1"/>
    <col min="6428" max="6428" width="13.421875" style="120" customWidth="1"/>
    <col min="6429" max="6429" width="15.57421875" style="120" customWidth="1"/>
    <col min="6430" max="6669" width="9.140625" style="120" customWidth="1"/>
    <col min="6670" max="6670" width="18.140625" style="120" customWidth="1"/>
    <col min="6671" max="6671" width="9.140625" style="120" hidden="1" customWidth="1"/>
    <col min="6672" max="6672" width="25.8515625" style="120" customWidth="1"/>
    <col min="6673" max="6673" width="31.57421875" style="120" customWidth="1"/>
    <col min="6674" max="6674" width="13.140625" style="120" bestFit="1" customWidth="1"/>
    <col min="6675" max="6675" width="17.421875" style="120" customWidth="1"/>
    <col min="6676" max="6676" width="18.421875" style="120" customWidth="1"/>
    <col min="6677" max="6677" width="11.7109375" style="120" customWidth="1"/>
    <col min="6678" max="6678" width="11.8515625" style="120" customWidth="1"/>
    <col min="6679" max="6679" width="13.421875" style="120" customWidth="1"/>
    <col min="6680" max="6680" width="13.140625" style="120" bestFit="1" customWidth="1"/>
    <col min="6681" max="6681" width="15.00390625" style="120" customWidth="1"/>
    <col min="6682" max="6682" width="15.57421875" style="120" customWidth="1"/>
    <col min="6683" max="6683" width="15.28125" style="120" customWidth="1"/>
    <col min="6684" max="6684" width="13.421875" style="120" customWidth="1"/>
    <col min="6685" max="6685" width="15.57421875" style="120" customWidth="1"/>
    <col min="6686" max="6925" width="9.140625" style="120" customWidth="1"/>
    <col min="6926" max="6926" width="18.140625" style="120" customWidth="1"/>
    <col min="6927" max="6927" width="9.140625" style="120" hidden="1" customWidth="1"/>
    <col min="6928" max="6928" width="25.8515625" style="120" customWidth="1"/>
    <col min="6929" max="6929" width="31.57421875" style="120" customWidth="1"/>
    <col min="6930" max="6930" width="13.140625" style="120" bestFit="1" customWidth="1"/>
    <col min="6931" max="6931" width="17.421875" style="120" customWidth="1"/>
    <col min="6932" max="6932" width="18.421875" style="120" customWidth="1"/>
    <col min="6933" max="6933" width="11.7109375" style="120" customWidth="1"/>
    <col min="6934" max="6934" width="11.8515625" style="120" customWidth="1"/>
    <col min="6935" max="6935" width="13.421875" style="120" customWidth="1"/>
    <col min="6936" max="6936" width="13.140625" style="120" bestFit="1" customWidth="1"/>
    <col min="6937" max="6937" width="15.00390625" style="120" customWidth="1"/>
    <col min="6938" max="6938" width="15.57421875" style="120" customWidth="1"/>
    <col min="6939" max="6939" width="15.28125" style="120" customWidth="1"/>
    <col min="6940" max="6940" width="13.421875" style="120" customWidth="1"/>
    <col min="6941" max="6941" width="15.57421875" style="120" customWidth="1"/>
    <col min="6942" max="7181" width="9.140625" style="120" customWidth="1"/>
    <col min="7182" max="7182" width="18.140625" style="120" customWidth="1"/>
    <col min="7183" max="7183" width="9.140625" style="120" hidden="1" customWidth="1"/>
    <col min="7184" max="7184" width="25.8515625" style="120" customWidth="1"/>
    <col min="7185" max="7185" width="31.57421875" style="120" customWidth="1"/>
    <col min="7186" max="7186" width="13.140625" style="120" bestFit="1" customWidth="1"/>
    <col min="7187" max="7187" width="17.421875" style="120" customWidth="1"/>
    <col min="7188" max="7188" width="18.421875" style="120" customWidth="1"/>
    <col min="7189" max="7189" width="11.7109375" style="120" customWidth="1"/>
    <col min="7190" max="7190" width="11.8515625" style="120" customWidth="1"/>
    <col min="7191" max="7191" width="13.421875" style="120" customWidth="1"/>
    <col min="7192" max="7192" width="13.140625" style="120" bestFit="1" customWidth="1"/>
    <col min="7193" max="7193" width="15.00390625" style="120" customWidth="1"/>
    <col min="7194" max="7194" width="15.57421875" style="120" customWidth="1"/>
    <col min="7195" max="7195" width="15.28125" style="120" customWidth="1"/>
    <col min="7196" max="7196" width="13.421875" style="120" customWidth="1"/>
    <col min="7197" max="7197" width="15.57421875" style="120" customWidth="1"/>
    <col min="7198" max="7437" width="9.140625" style="120" customWidth="1"/>
    <col min="7438" max="7438" width="18.140625" style="120" customWidth="1"/>
    <col min="7439" max="7439" width="9.140625" style="120" hidden="1" customWidth="1"/>
    <col min="7440" max="7440" width="25.8515625" style="120" customWidth="1"/>
    <col min="7441" max="7441" width="31.57421875" style="120" customWidth="1"/>
    <col min="7442" max="7442" width="13.140625" style="120" bestFit="1" customWidth="1"/>
    <col min="7443" max="7443" width="17.421875" style="120" customWidth="1"/>
    <col min="7444" max="7444" width="18.421875" style="120" customWidth="1"/>
    <col min="7445" max="7445" width="11.7109375" style="120" customWidth="1"/>
    <col min="7446" max="7446" width="11.8515625" style="120" customWidth="1"/>
    <col min="7447" max="7447" width="13.421875" style="120" customWidth="1"/>
    <col min="7448" max="7448" width="13.140625" style="120" bestFit="1" customWidth="1"/>
    <col min="7449" max="7449" width="15.00390625" style="120" customWidth="1"/>
    <col min="7450" max="7450" width="15.57421875" style="120" customWidth="1"/>
    <col min="7451" max="7451" width="15.28125" style="120" customWidth="1"/>
    <col min="7452" max="7452" width="13.421875" style="120" customWidth="1"/>
    <col min="7453" max="7453" width="15.57421875" style="120" customWidth="1"/>
    <col min="7454" max="7693" width="9.140625" style="120" customWidth="1"/>
    <col min="7694" max="7694" width="18.140625" style="120" customWidth="1"/>
    <col min="7695" max="7695" width="9.140625" style="120" hidden="1" customWidth="1"/>
    <col min="7696" max="7696" width="25.8515625" style="120" customWidth="1"/>
    <col min="7697" max="7697" width="31.57421875" style="120" customWidth="1"/>
    <col min="7698" max="7698" width="13.140625" style="120" bestFit="1" customWidth="1"/>
    <col min="7699" max="7699" width="17.421875" style="120" customWidth="1"/>
    <col min="7700" max="7700" width="18.421875" style="120" customWidth="1"/>
    <col min="7701" max="7701" width="11.7109375" style="120" customWidth="1"/>
    <col min="7702" max="7702" width="11.8515625" style="120" customWidth="1"/>
    <col min="7703" max="7703" width="13.421875" style="120" customWidth="1"/>
    <col min="7704" max="7704" width="13.140625" style="120" bestFit="1" customWidth="1"/>
    <col min="7705" max="7705" width="15.00390625" style="120" customWidth="1"/>
    <col min="7706" max="7706" width="15.57421875" style="120" customWidth="1"/>
    <col min="7707" max="7707" width="15.28125" style="120" customWidth="1"/>
    <col min="7708" max="7708" width="13.421875" style="120" customWidth="1"/>
    <col min="7709" max="7709" width="15.57421875" style="120" customWidth="1"/>
    <col min="7710" max="7949" width="9.140625" style="120" customWidth="1"/>
    <col min="7950" max="7950" width="18.140625" style="120" customWidth="1"/>
    <col min="7951" max="7951" width="9.140625" style="120" hidden="1" customWidth="1"/>
    <col min="7952" max="7952" width="25.8515625" style="120" customWidth="1"/>
    <col min="7953" max="7953" width="31.57421875" style="120" customWidth="1"/>
    <col min="7954" max="7954" width="13.140625" style="120" bestFit="1" customWidth="1"/>
    <col min="7955" max="7955" width="17.421875" style="120" customWidth="1"/>
    <col min="7956" max="7956" width="18.421875" style="120" customWidth="1"/>
    <col min="7957" max="7957" width="11.7109375" style="120" customWidth="1"/>
    <col min="7958" max="7958" width="11.8515625" style="120" customWidth="1"/>
    <col min="7959" max="7959" width="13.421875" style="120" customWidth="1"/>
    <col min="7960" max="7960" width="13.140625" style="120" bestFit="1" customWidth="1"/>
    <col min="7961" max="7961" width="15.00390625" style="120" customWidth="1"/>
    <col min="7962" max="7962" width="15.57421875" style="120" customWidth="1"/>
    <col min="7963" max="7963" width="15.28125" style="120" customWidth="1"/>
    <col min="7964" max="7964" width="13.421875" style="120" customWidth="1"/>
    <col min="7965" max="7965" width="15.57421875" style="120" customWidth="1"/>
    <col min="7966" max="8205" width="9.140625" style="120" customWidth="1"/>
    <col min="8206" max="8206" width="18.140625" style="120" customWidth="1"/>
    <col min="8207" max="8207" width="9.140625" style="120" hidden="1" customWidth="1"/>
    <col min="8208" max="8208" width="25.8515625" style="120" customWidth="1"/>
    <col min="8209" max="8209" width="31.57421875" style="120" customWidth="1"/>
    <col min="8210" max="8210" width="13.140625" style="120" bestFit="1" customWidth="1"/>
    <col min="8211" max="8211" width="17.421875" style="120" customWidth="1"/>
    <col min="8212" max="8212" width="18.421875" style="120" customWidth="1"/>
    <col min="8213" max="8213" width="11.7109375" style="120" customWidth="1"/>
    <col min="8214" max="8214" width="11.8515625" style="120" customWidth="1"/>
    <col min="8215" max="8215" width="13.421875" style="120" customWidth="1"/>
    <col min="8216" max="8216" width="13.140625" style="120" bestFit="1" customWidth="1"/>
    <col min="8217" max="8217" width="15.00390625" style="120" customWidth="1"/>
    <col min="8218" max="8218" width="15.57421875" style="120" customWidth="1"/>
    <col min="8219" max="8219" width="15.28125" style="120" customWidth="1"/>
    <col min="8220" max="8220" width="13.421875" style="120" customWidth="1"/>
    <col min="8221" max="8221" width="15.57421875" style="120" customWidth="1"/>
    <col min="8222" max="8461" width="9.140625" style="120" customWidth="1"/>
    <col min="8462" max="8462" width="18.140625" style="120" customWidth="1"/>
    <col min="8463" max="8463" width="9.140625" style="120" hidden="1" customWidth="1"/>
    <col min="8464" max="8464" width="25.8515625" style="120" customWidth="1"/>
    <col min="8465" max="8465" width="31.57421875" style="120" customWidth="1"/>
    <col min="8466" max="8466" width="13.140625" style="120" bestFit="1" customWidth="1"/>
    <col min="8467" max="8467" width="17.421875" style="120" customWidth="1"/>
    <col min="8468" max="8468" width="18.421875" style="120" customWidth="1"/>
    <col min="8469" max="8469" width="11.7109375" style="120" customWidth="1"/>
    <col min="8470" max="8470" width="11.8515625" style="120" customWidth="1"/>
    <col min="8471" max="8471" width="13.421875" style="120" customWidth="1"/>
    <col min="8472" max="8472" width="13.140625" style="120" bestFit="1" customWidth="1"/>
    <col min="8473" max="8473" width="15.00390625" style="120" customWidth="1"/>
    <col min="8474" max="8474" width="15.57421875" style="120" customWidth="1"/>
    <col min="8475" max="8475" width="15.28125" style="120" customWidth="1"/>
    <col min="8476" max="8476" width="13.421875" style="120" customWidth="1"/>
    <col min="8477" max="8477" width="15.57421875" style="120" customWidth="1"/>
    <col min="8478" max="8717" width="9.140625" style="120" customWidth="1"/>
    <col min="8718" max="8718" width="18.140625" style="120" customWidth="1"/>
    <col min="8719" max="8719" width="9.140625" style="120" hidden="1" customWidth="1"/>
    <col min="8720" max="8720" width="25.8515625" style="120" customWidth="1"/>
    <col min="8721" max="8721" width="31.57421875" style="120" customWidth="1"/>
    <col min="8722" max="8722" width="13.140625" style="120" bestFit="1" customWidth="1"/>
    <col min="8723" max="8723" width="17.421875" style="120" customWidth="1"/>
    <col min="8724" max="8724" width="18.421875" style="120" customWidth="1"/>
    <col min="8725" max="8725" width="11.7109375" style="120" customWidth="1"/>
    <col min="8726" max="8726" width="11.8515625" style="120" customWidth="1"/>
    <col min="8727" max="8727" width="13.421875" style="120" customWidth="1"/>
    <col min="8728" max="8728" width="13.140625" style="120" bestFit="1" customWidth="1"/>
    <col min="8729" max="8729" width="15.00390625" style="120" customWidth="1"/>
    <col min="8730" max="8730" width="15.57421875" style="120" customWidth="1"/>
    <col min="8731" max="8731" width="15.28125" style="120" customWidth="1"/>
    <col min="8732" max="8732" width="13.421875" style="120" customWidth="1"/>
    <col min="8733" max="8733" width="15.57421875" style="120" customWidth="1"/>
    <col min="8734" max="8973" width="9.140625" style="120" customWidth="1"/>
    <col min="8974" max="8974" width="18.140625" style="120" customWidth="1"/>
    <col min="8975" max="8975" width="9.140625" style="120" hidden="1" customWidth="1"/>
    <col min="8976" max="8976" width="25.8515625" style="120" customWidth="1"/>
    <col min="8977" max="8977" width="31.57421875" style="120" customWidth="1"/>
    <col min="8978" max="8978" width="13.140625" style="120" bestFit="1" customWidth="1"/>
    <col min="8979" max="8979" width="17.421875" style="120" customWidth="1"/>
    <col min="8980" max="8980" width="18.421875" style="120" customWidth="1"/>
    <col min="8981" max="8981" width="11.7109375" style="120" customWidth="1"/>
    <col min="8982" max="8982" width="11.8515625" style="120" customWidth="1"/>
    <col min="8983" max="8983" width="13.421875" style="120" customWidth="1"/>
    <col min="8984" max="8984" width="13.140625" style="120" bestFit="1" customWidth="1"/>
    <col min="8985" max="8985" width="15.00390625" style="120" customWidth="1"/>
    <col min="8986" max="8986" width="15.57421875" style="120" customWidth="1"/>
    <col min="8987" max="8987" width="15.28125" style="120" customWidth="1"/>
    <col min="8988" max="8988" width="13.421875" style="120" customWidth="1"/>
    <col min="8989" max="8989" width="15.57421875" style="120" customWidth="1"/>
    <col min="8990" max="9229" width="9.140625" style="120" customWidth="1"/>
    <col min="9230" max="9230" width="18.140625" style="120" customWidth="1"/>
    <col min="9231" max="9231" width="9.140625" style="120" hidden="1" customWidth="1"/>
    <col min="9232" max="9232" width="25.8515625" style="120" customWidth="1"/>
    <col min="9233" max="9233" width="31.57421875" style="120" customWidth="1"/>
    <col min="9234" max="9234" width="13.140625" style="120" bestFit="1" customWidth="1"/>
    <col min="9235" max="9235" width="17.421875" style="120" customWidth="1"/>
    <col min="9236" max="9236" width="18.421875" style="120" customWidth="1"/>
    <col min="9237" max="9237" width="11.7109375" style="120" customWidth="1"/>
    <col min="9238" max="9238" width="11.8515625" style="120" customWidth="1"/>
    <col min="9239" max="9239" width="13.421875" style="120" customWidth="1"/>
    <col min="9240" max="9240" width="13.140625" style="120" bestFit="1" customWidth="1"/>
    <col min="9241" max="9241" width="15.00390625" style="120" customWidth="1"/>
    <col min="9242" max="9242" width="15.57421875" style="120" customWidth="1"/>
    <col min="9243" max="9243" width="15.28125" style="120" customWidth="1"/>
    <col min="9244" max="9244" width="13.421875" style="120" customWidth="1"/>
    <col min="9245" max="9245" width="15.57421875" style="120" customWidth="1"/>
    <col min="9246" max="9485" width="9.140625" style="120" customWidth="1"/>
    <col min="9486" max="9486" width="18.140625" style="120" customWidth="1"/>
    <col min="9487" max="9487" width="9.140625" style="120" hidden="1" customWidth="1"/>
    <col min="9488" max="9488" width="25.8515625" style="120" customWidth="1"/>
    <col min="9489" max="9489" width="31.57421875" style="120" customWidth="1"/>
    <col min="9490" max="9490" width="13.140625" style="120" bestFit="1" customWidth="1"/>
    <col min="9491" max="9491" width="17.421875" style="120" customWidth="1"/>
    <col min="9492" max="9492" width="18.421875" style="120" customWidth="1"/>
    <col min="9493" max="9493" width="11.7109375" style="120" customWidth="1"/>
    <col min="9494" max="9494" width="11.8515625" style="120" customWidth="1"/>
    <col min="9495" max="9495" width="13.421875" style="120" customWidth="1"/>
    <col min="9496" max="9496" width="13.140625" style="120" bestFit="1" customWidth="1"/>
    <col min="9497" max="9497" width="15.00390625" style="120" customWidth="1"/>
    <col min="9498" max="9498" width="15.57421875" style="120" customWidth="1"/>
    <col min="9499" max="9499" width="15.28125" style="120" customWidth="1"/>
    <col min="9500" max="9500" width="13.421875" style="120" customWidth="1"/>
    <col min="9501" max="9501" width="15.57421875" style="120" customWidth="1"/>
    <col min="9502" max="9741" width="9.140625" style="120" customWidth="1"/>
    <col min="9742" max="9742" width="18.140625" style="120" customWidth="1"/>
    <col min="9743" max="9743" width="9.140625" style="120" hidden="1" customWidth="1"/>
    <col min="9744" max="9744" width="25.8515625" style="120" customWidth="1"/>
    <col min="9745" max="9745" width="31.57421875" style="120" customWidth="1"/>
    <col min="9746" max="9746" width="13.140625" style="120" bestFit="1" customWidth="1"/>
    <col min="9747" max="9747" width="17.421875" style="120" customWidth="1"/>
    <col min="9748" max="9748" width="18.421875" style="120" customWidth="1"/>
    <col min="9749" max="9749" width="11.7109375" style="120" customWidth="1"/>
    <col min="9750" max="9750" width="11.8515625" style="120" customWidth="1"/>
    <col min="9751" max="9751" width="13.421875" style="120" customWidth="1"/>
    <col min="9752" max="9752" width="13.140625" style="120" bestFit="1" customWidth="1"/>
    <col min="9753" max="9753" width="15.00390625" style="120" customWidth="1"/>
    <col min="9754" max="9754" width="15.57421875" style="120" customWidth="1"/>
    <col min="9755" max="9755" width="15.28125" style="120" customWidth="1"/>
    <col min="9756" max="9756" width="13.421875" style="120" customWidth="1"/>
    <col min="9757" max="9757" width="15.57421875" style="120" customWidth="1"/>
    <col min="9758" max="9997" width="9.140625" style="120" customWidth="1"/>
    <col min="9998" max="9998" width="18.140625" style="120" customWidth="1"/>
    <col min="9999" max="9999" width="9.140625" style="120" hidden="1" customWidth="1"/>
    <col min="10000" max="10000" width="25.8515625" style="120" customWidth="1"/>
    <col min="10001" max="10001" width="31.57421875" style="120" customWidth="1"/>
    <col min="10002" max="10002" width="13.140625" style="120" bestFit="1" customWidth="1"/>
    <col min="10003" max="10003" width="17.421875" style="120" customWidth="1"/>
    <col min="10004" max="10004" width="18.421875" style="120" customWidth="1"/>
    <col min="10005" max="10005" width="11.7109375" style="120" customWidth="1"/>
    <col min="10006" max="10006" width="11.8515625" style="120" customWidth="1"/>
    <col min="10007" max="10007" width="13.421875" style="120" customWidth="1"/>
    <col min="10008" max="10008" width="13.140625" style="120" bestFit="1" customWidth="1"/>
    <col min="10009" max="10009" width="15.00390625" style="120" customWidth="1"/>
    <col min="10010" max="10010" width="15.57421875" style="120" customWidth="1"/>
    <col min="10011" max="10011" width="15.28125" style="120" customWidth="1"/>
    <col min="10012" max="10012" width="13.421875" style="120" customWidth="1"/>
    <col min="10013" max="10013" width="15.57421875" style="120" customWidth="1"/>
    <col min="10014" max="10253" width="9.140625" style="120" customWidth="1"/>
    <col min="10254" max="10254" width="18.140625" style="120" customWidth="1"/>
    <col min="10255" max="10255" width="9.140625" style="120" hidden="1" customWidth="1"/>
    <col min="10256" max="10256" width="25.8515625" style="120" customWidth="1"/>
    <col min="10257" max="10257" width="31.57421875" style="120" customWidth="1"/>
    <col min="10258" max="10258" width="13.140625" style="120" bestFit="1" customWidth="1"/>
    <col min="10259" max="10259" width="17.421875" style="120" customWidth="1"/>
    <col min="10260" max="10260" width="18.421875" style="120" customWidth="1"/>
    <col min="10261" max="10261" width="11.7109375" style="120" customWidth="1"/>
    <col min="10262" max="10262" width="11.8515625" style="120" customWidth="1"/>
    <col min="10263" max="10263" width="13.421875" style="120" customWidth="1"/>
    <col min="10264" max="10264" width="13.140625" style="120" bestFit="1" customWidth="1"/>
    <col min="10265" max="10265" width="15.00390625" style="120" customWidth="1"/>
    <col min="10266" max="10266" width="15.57421875" style="120" customWidth="1"/>
    <col min="10267" max="10267" width="15.28125" style="120" customWidth="1"/>
    <col min="10268" max="10268" width="13.421875" style="120" customWidth="1"/>
    <col min="10269" max="10269" width="15.57421875" style="120" customWidth="1"/>
    <col min="10270" max="10509" width="9.140625" style="120" customWidth="1"/>
    <col min="10510" max="10510" width="18.140625" style="120" customWidth="1"/>
    <col min="10511" max="10511" width="9.140625" style="120" hidden="1" customWidth="1"/>
    <col min="10512" max="10512" width="25.8515625" style="120" customWidth="1"/>
    <col min="10513" max="10513" width="31.57421875" style="120" customWidth="1"/>
    <col min="10514" max="10514" width="13.140625" style="120" bestFit="1" customWidth="1"/>
    <col min="10515" max="10515" width="17.421875" style="120" customWidth="1"/>
    <col min="10516" max="10516" width="18.421875" style="120" customWidth="1"/>
    <col min="10517" max="10517" width="11.7109375" style="120" customWidth="1"/>
    <col min="10518" max="10518" width="11.8515625" style="120" customWidth="1"/>
    <col min="10519" max="10519" width="13.421875" style="120" customWidth="1"/>
    <col min="10520" max="10520" width="13.140625" style="120" bestFit="1" customWidth="1"/>
    <col min="10521" max="10521" width="15.00390625" style="120" customWidth="1"/>
    <col min="10522" max="10522" width="15.57421875" style="120" customWidth="1"/>
    <col min="10523" max="10523" width="15.28125" style="120" customWidth="1"/>
    <col min="10524" max="10524" width="13.421875" style="120" customWidth="1"/>
    <col min="10525" max="10525" width="15.57421875" style="120" customWidth="1"/>
    <col min="10526" max="10765" width="9.140625" style="120" customWidth="1"/>
    <col min="10766" max="10766" width="18.140625" style="120" customWidth="1"/>
    <col min="10767" max="10767" width="9.140625" style="120" hidden="1" customWidth="1"/>
    <col min="10768" max="10768" width="25.8515625" style="120" customWidth="1"/>
    <col min="10769" max="10769" width="31.57421875" style="120" customWidth="1"/>
    <col min="10770" max="10770" width="13.140625" style="120" bestFit="1" customWidth="1"/>
    <col min="10771" max="10771" width="17.421875" style="120" customWidth="1"/>
    <col min="10772" max="10772" width="18.421875" style="120" customWidth="1"/>
    <col min="10773" max="10773" width="11.7109375" style="120" customWidth="1"/>
    <col min="10774" max="10774" width="11.8515625" style="120" customWidth="1"/>
    <col min="10775" max="10775" width="13.421875" style="120" customWidth="1"/>
    <col min="10776" max="10776" width="13.140625" style="120" bestFit="1" customWidth="1"/>
    <col min="10777" max="10777" width="15.00390625" style="120" customWidth="1"/>
    <col min="10778" max="10778" width="15.57421875" style="120" customWidth="1"/>
    <col min="10779" max="10779" width="15.28125" style="120" customWidth="1"/>
    <col min="10780" max="10780" width="13.421875" style="120" customWidth="1"/>
    <col min="10781" max="10781" width="15.57421875" style="120" customWidth="1"/>
    <col min="10782" max="11021" width="9.140625" style="120" customWidth="1"/>
    <col min="11022" max="11022" width="18.140625" style="120" customWidth="1"/>
    <col min="11023" max="11023" width="9.140625" style="120" hidden="1" customWidth="1"/>
    <col min="11024" max="11024" width="25.8515625" style="120" customWidth="1"/>
    <col min="11025" max="11025" width="31.57421875" style="120" customWidth="1"/>
    <col min="11026" max="11026" width="13.140625" style="120" bestFit="1" customWidth="1"/>
    <col min="11027" max="11027" width="17.421875" style="120" customWidth="1"/>
    <col min="11028" max="11028" width="18.421875" style="120" customWidth="1"/>
    <col min="11029" max="11029" width="11.7109375" style="120" customWidth="1"/>
    <col min="11030" max="11030" width="11.8515625" style="120" customWidth="1"/>
    <col min="11031" max="11031" width="13.421875" style="120" customWidth="1"/>
    <col min="11032" max="11032" width="13.140625" style="120" bestFit="1" customWidth="1"/>
    <col min="11033" max="11033" width="15.00390625" style="120" customWidth="1"/>
    <col min="11034" max="11034" width="15.57421875" style="120" customWidth="1"/>
    <col min="11035" max="11035" width="15.28125" style="120" customWidth="1"/>
    <col min="11036" max="11036" width="13.421875" style="120" customWidth="1"/>
    <col min="11037" max="11037" width="15.57421875" style="120" customWidth="1"/>
    <col min="11038" max="11277" width="9.140625" style="120" customWidth="1"/>
    <col min="11278" max="11278" width="18.140625" style="120" customWidth="1"/>
    <col min="11279" max="11279" width="9.140625" style="120" hidden="1" customWidth="1"/>
    <col min="11280" max="11280" width="25.8515625" style="120" customWidth="1"/>
    <col min="11281" max="11281" width="31.57421875" style="120" customWidth="1"/>
    <col min="11282" max="11282" width="13.140625" style="120" bestFit="1" customWidth="1"/>
    <col min="11283" max="11283" width="17.421875" style="120" customWidth="1"/>
    <col min="11284" max="11284" width="18.421875" style="120" customWidth="1"/>
    <col min="11285" max="11285" width="11.7109375" style="120" customWidth="1"/>
    <col min="11286" max="11286" width="11.8515625" style="120" customWidth="1"/>
    <col min="11287" max="11287" width="13.421875" style="120" customWidth="1"/>
    <col min="11288" max="11288" width="13.140625" style="120" bestFit="1" customWidth="1"/>
    <col min="11289" max="11289" width="15.00390625" style="120" customWidth="1"/>
    <col min="11290" max="11290" width="15.57421875" style="120" customWidth="1"/>
    <col min="11291" max="11291" width="15.28125" style="120" customWidth="1"/>
    <col min="11292" max="11292" width="13.421875" style="120" customWidth="1"/>
    <col min="11293" max="11293" width="15.57421875" style="120" customWidth="1"/>
    <col min="11294" max="11533" width="9.140625" style="120" customWidth="1"/>
    <col min="11534" max="11534" width="18.140625" style="120" customWidth="1"/>
    <col min="11535" max="11535" width="9.140625" style="120" hidden="1" customWidth="1"/>
    <col min="11536" max="11536" width="25.8515625" style="120" customWidth="1"/>
    <col min="11537" max="11537" width="31.57421875" style="120" customWidth="1"/>
    <col min="11538" max="11538" width="13.140625" style="120" bestFit="1" customWidth="1"/>
    <col min="11539" max="11539" width="17.421875" style="120" customWidth="1"/>
    <col min="11540" max="11540" width="18.421875" style="120" customWidth="1"/>
    <col min="11541" max="11541" width="11.7109375" style="120" customWidth="1"/>
    <col min="11542" max="11542" width="11.8515625" style="120" customWidth="1"/>
    <col min="11543" max="11543" width="13.421875" style="120" customWidth="1"/>
    <col min="11544" max="11544" width="13.140625" style="120" bestFit="1" customWidth="1"/>
    <col min="11545" max="11545" width="15.00390625" style="120" customWidth="1"/>
    <col min="11546" max="11546" width="15.57421875" style="120" customWidth="1"/>
    <col min="11547" max="11547" width="15.28125" style="120" customWidth="1"/>
    <col min="11548" max="11548" width="13.421875" style="120" customWidth="1"/>
    <col min="11549" max="11549" width="15.57421875" style="120" customWidth="1"/>
    <col min="11550" max="11789" width="9.140625" style="120" customWidth="1"/>
    <col min="11790" max="11790" width="18.140625" style="120" customWidth="1"/>
    <col min="11791" max="11791" width="9.140625" style="120" hidden="1" customWidth="1"/>
    <col min="11792" max="11792" width="25.8515625" style="120" customWidth="1"/>
    <col min="11793" max="11793" width="31.57421875" style="120" customWidth="1"/>
    <col min="11794" max="11794" width="13.140625" style="120" bestFit="1" customWidth="1"/>
    <col min="11795" max="11795" width="17.421875" style="120" customWidth="1"/>
    <col min="11796" max="11796" width="18.421875" style="120" customWidth="1"/>
    <col min="11797" max="11797" width="11.7109375" style="120" customWidth="1"/>
    <col min="11798" max="11798" width="11.8515625" style="120" customWidth="1"/>
    <col min="11799" max="11799" width="13.421875" style="120" customWidth="1"/>
    <col min="11800" max="11800" width="13.140625" style="120" bestFit="1" customWidth="1"/>
    <col min="11801" max="11801" width="15.00390625" style="120" customWidth="1"/>
    <col min="11802" max="11802" width="15.57421875" style="120" customWidth="1"/>
    <col min="11803" max="11803" width="15.28125" style="120" customWidth="1"/>
    <col min="11804" max="11804" width="13.421875" style="120" customWidth="1"/>
    <col min="11805" max="11805" width="15.57421875" style="120" customWidth="1"/>
    <col min="11806" max="12045" width="9.140625" style="120" customWidth="1"/>
    <col min="12046" max="12046" width="18.140625" style="120" customWidth="1"/>
    <col min="12047" max="12047" width="9.140625" style="120" hidden="1" customWidth="1"/>
    <col min="12048" max="12048" width="25.8515625" style="120" customWidth="1"/>
    <col min="12049" max="12049" width="31.57421875" style="120" customWidth="1"/>
    <col min="12050" max="12050" width="13.140625" style="120" bestFit="1" customWidth="1"/>
    <col min="12051" max="12051" width="17.421875" style="120" customWidth="1"/>
    <col min="12052" max="12052" width="18.421875" style="120" customWidth="1"/>
    <col min="12053" max="12053" width="11.7109375" style="120" customWidth="1"/>
    <col min="12054" max="12054" width="11.8515625" style="120" customWidth="1"/>
    <col min="12055" max="12055" width="13.421875" style="120" customWidth="1"/>
    <col min="12056" max="12056" width="13.140625" style="120" bestFit="1" customWidth="1"/>
    <col min="12057" max="12057" width="15.00390625" style="120" customWidth="1"/>
    <col min="12058" max="12058" width="15.57421875" style="120" customWidth="1"/>
    <col min="12059" max="12059" width="15.28125" style="120" customWidth="1"/>
    <col min="12060" max="12060" width="13.421875" style="120" customWidth="1"/>
    <col min="12061" max="12061" width="15.57421875" style="120" customWidth="1"/>
    <col min="12062" max="12301" width="9.140625" style="120" customWidth="1"/>
    <col min="12302" max="12302" width="18.140625" style="120" customWidth="1"/>
    <col min="12303" max="12303" width="9.140625" style="120" hidden="1" customWidth="1"/>
    <col min="12304" max="12304" width="25.8515625" style="120" customWidth="1"/>
    <col min="12305" max="12305" width="31.57421875" style="120" customWidth="1"/>
    <col min="12306" max="12306" width="13.140625" style="120" bestFit="1" customWidth="1"/>
    <col min="12307" max="12307" width="17.421875" style="120" customWidth="1"/>
    <col min="12308" max="12308" width="18.421875" style="120" customWidth="1"/>
    <col min="12309" max="12309" width="11.7109375" style="120" customWidth="1"/>
    <col min="12310" max="12310" width="11.8515625" style="120" customWidth="1"/>
    <col min="12311" max="12311" width="13.421875" style="120" customWidth="1"/>
    <col min="12312" max="12312" width="13.140625" style="120" bestFit="1" customWidth="1"/>
    <col min="12313" max="12313" width="15.00390625" style="120" customWidth="1"/>
    <col min="12314" max="12314" width="15.57421875" style="120" customWidth="1"/>
    <col min="12315" max="12315" width="15.28125" style="120" customWidth="1"/>
    <col min="12316" max="12316" width="13.421875" style="120" customWidth="1"/>
    <col min="12317" max="12317" width="15.57421875" style="120" customWidth="1"/>
    <col min="12318" max="12557" width="9.140625" style="120" customWidth="1"/>
    <col min="12558" max="12558" width="18.140625" style="120" customWidth="1"/>
    <col min="12559" max="12559" width="9.140625" style="120" hidden="1" customWidth="1"/>
    <col min="12560" max="12560" width="25.8515625" style="120" customWidth="1"/>
    <col min="12561" max="12561" width="31.57421875" style="120" customWidth="1"/>
    <col min="12562" max="12562" width="13.140625" style="120" bestFit="1" customWidth="1"/>
    <col min="12563" max="12563" width="17.421875" style="120" customWidth="1"/>
    <col min="12564" max="12564" width="18.421875" style="120" customWidth="1"/>
    <col min="12565" max="12565" width="11.7109375" style="120" customWidth="1"/>
    <col min="12566" max="12566" width="11.8515625" style="120" customWidth="1"/>
    <col min="12567" max="12567" width="13.421875" style="120" customWidth="1"/>
    <col min="12568" max="12568" width="13.140625" style="120" bestFit="1" customWidth="1"/>
    <col min="12569" max="12569" width="15.00390625" style="120" customWidth="1"/>
    <col min="12570" max="12570" width="15.57421875" style="120" customWidth="1"/>
    <col min="12571" max="12571" width="15.28125" style="120" customWidth="1"/>
    <col min="12572" max="12572" width="13.421875" style="120" customWidth="1"/>
    <col min="12573" max="12573" width="15.57421875" style="120" customWidth="1"/>
    <col min="12574" max="12813" width="9.140625" style="120" customWidth="1"/>
    <col min="12814" max="12814" width="18.140625" style="120" customWidth="1"/>
    <col min="12815" max="12815" width="9.140625" style="120" hidden="1" customWidth="1"/>
    <col min="12816" max="12816" width="25.8515625" style="120" customWidth="1"/>
    <col min="12817" max="12817" width="31.57421875" style="120" customWidth="1"/>
    <col min="12818" max="12818" width="13.140625" style="120" bestFit="1" customWidth="1"/>
    <col min="12819" max="12819" width="17.421875" style="120" customWidth="1"/>
    <col min="12820" max="12820" width="18.421875" style="120" customWidth="1"/>
    <col min="12821" max="12821" width="11.7109375" style="120" customWidth="1"/>
    <col min="12822" max="12822" width="11.8515625" style="120" customWidth="1"/>
    <col min="12823" max="12823" width="13.421875" style="120" customWidth="1"/>
    <col min="12824" max="12824" width="13.140625" style="120" bestFit="1" customWidth="1"/>
    <col min="12825" max="12825" width="15.00390625" style="120" customWidth="1"/>
    <col min="12826" max="12826" width="15.57421875" style="120" customWidth="1"/>
    <col min="12827" max="12827" width="15.28125" style="120" customWidth="1"/>
    <col min="12828" max="12828" width="13.421875" style="120" customWidth="1"/>
    <col min="12829" max="12829" width="15.57421875" style="120" customWidth="1"/>
    <col min="12830" max="13069" width="9.140625" style="120" customWidth="1"/>
    <col min="13070" max="13070" width="18.140625" style="120" customWidth="1"/>
    <col min="13071" max="13071" width="9.140625" style="120" hidden="1" customWidth="1"/>
    <col min="13072" max="13072" width="25.8515625" style="120" customWidth="1"/>
    <col min="13073" max="13073" width="31.57421875" style="120" customWidth="1"/>
    <col min="13074" max="13074" width="13.140625" style="120" bestFit="1" customWidth="1"/>
    <col min="13075" max="13075" width="17.421875" style="120" customWidth="1"/>
    <col min="13076" max="13076" width="18.421875" style="120" customWidth="1"/>
    <col min="13077" max="13077" width="11.7109375" style="120" customWidth="1"/>
    <col min="13078" max="13078" width="11.8515625" style="120" customWidth="1"/>
    <col min="13079" max="13079" width="13.421875" style="120" customWidth="1"/>
    <col min="13080" max="13080" width="13.140625" style="120" bestFit="1" customWidth="1"/>
    <col min="13081" max="13081" width="15.00390625" style="120" customWidth="1"/>
    <col min="13082" max="13082" width="15.57421875" style="120" customWidth="1"/>
    <col min="13083" max="13083" width="15.28125" style="120" customWidth="1"/>
    <col min="13084" max="13084" width="13.421875" style="120" customWidth="1"/>
    <col min="13085" max="13085" width="15.57421875" style="120" customWidth="1"/>
    <col min="13086" max="13325" width="9.140625" style="120" customWidth="1"/>
    <col min="13326" max="13326" width="18.140625" style="120" customWidth="1"/>
    <col min="13327" max="13327" width="9.140625" style="120" hidden="1" customWidth="1"/>
    <col min="13328" max="13328" width="25.8515625" style="120" customWidth="1"/>
    <col min="13329" max="13329" width="31.57421875" style="120" customWidth="1"/>
    <col min="13330" max="13330" width="13.140625" style="120" bestFit="1" customWidth="1"/>
    <col min="13331" max="13331" width="17.421875" style="120" customWidth="1"/>
    <col min="13332" max="13332" width="18.421875" style="120" customWidth="1"/>
    <col min="13333" max="13333" width="11.7109375" style="120" customWidth="1"/>
    <col min="13334" max="13334" width="11.8515625" style="120" customWidth="1"/>
    <col min="13335" max="13335" width="13.421875" style="120" customWidth="1"/>
    <col min="13336" max="13336" width="13.140625" style="120" bestFit="1" customWidth="1"/>
    <col min="13337" max="13337" width="15.00390625" style="120" customWidth="1"/>
    <col min="13338" max="13338" width="15.57421875" style="120" customWidth="1"/>
    <col min="13339" max="13339" width="15.28125" style="120" customWidth="1"/>
    <col min="13340" max="13340" width="13.421875" style="120" customWidth="1"/>
    <col min="13341" max="13341" width="15.57421875" style="120" customWidth="1"/>
    <col min="13342" max="13581" width="9.140625" style="120" customWidth="1"/>
    <col min="13582" max="13582" width="18.140625" style="120" customWidth="1"/>
    <col min="13583" max="13583" width="9.140625" style="120" hidden="1" customWidth="1"/>
    <col min="13584" max="13584" width="25.8515625" style="120" customWidth="1"/>
    <col min="13585" max="13585" width="31.57421875" style="120" customWidth="1"/>
    <col min="13586" max="13586" width="13.140625" style="120" bestFit="1" customWidth="1"/>
    <col min="13587" max="13587" width="17.421875" style="120" customWidth="1"/>
    <col min="13588" max="13588" width="18.421875" style="120" customWidth="1"/>
    <col min="13589" max="13589" width="11.7109375" style="120" customWidth="1"/>
    <col min="13590" max="13590" width="11.8515625" style="120" customWidth="1"/>
    <col min="13591" max="13591" width="13.421875" style="120" customWidth="1"/>
    <col min="13592" max="13592" width="13.140625" style="120" bestFit="1" customWidth="1"/>
    <col min="13593" max="13593" width="15.00390625" style="120" customWidth="1"/>
    <col min="13594" max="13594" width="15.57421875" style="120" customWidth="1"/>
    <col min="13595" max="13595" width="15.28125" style="120" customWidth="1"/>
    <col min="13596" max="13596" width="13.421875" style="120" customWidth="1"/>
    <col min="13597" max="13597" width="15.57421875" style="120" customWidth="1"/>
    <col min="13598" max="13837" width="9.140625" style="120" customWidth="1"/>
    <col min="13838" max="13838" width="18.140625" style="120" customWidth="1"/>
    <col min="13839" max="13839" width="9.140625" style="120" hidden="1" customWidth="1"/>
    <col min="13840" max="13840" width="25.8515625" style="120" customWidth="1"/>
    <col min="13841" max="13841" width="31.57421875" style="120" customWidth="1"/>
    <col min="13842" max="13842" width="13.140625" style="120" bestFit="1" customWidth="1"/>
    <col min="13843" max="13843" width="17.421875" style="120" customWidth="1"/>
    <col min="13844" max="13844" width="18.421875" style="120" customWidth="1"/>
    <col min="13845" max="13845" width="11.7109375" style="120" customWidth="1"/>
    <col min="13846" max="13846" width="11.8515625" style="120" customWidth="1"/>
    <col min="13847" max="13847" width="13.421875" style="120" customWidth="1"/>
    <col min="13848" max="13848" width="13.140625" style="120" bestFit="1" customWidth="1"/>
    <col min="13849" max="13849" width="15.00390625" style="120" customWidth="1"/>
    <col min="13850" max="13850" width="15.57421875" style="120" customWidth="1"/>
    <col min="13851" max="13851" width="15.28125" style="120" customWidth="1"/>
    <col min="13852" max="13852" width="13.421875" style="120" customWidth="1"/>
    <col min="13853" max="13853" width="15.57421875" style="120" customWidth="1"/>
    <col min="13854" max="14093" width="9.140625" style="120" customWidth="1"/>
    <col min="14094" max="14094" width="18.140625" style="120" customWidth="1"/>
    <col min="14095" max="14095" width="9.140625" style="120" hidden="1" customWidth="1"/>
    <col min="14096" max="14096" width="25.8515625" style="120" customWidth="1"/>
    <col min="14097" max="14097" width="31.57421875" style="120" customWidth="1"/>
    <col min="14098" max="14098" width="13.140625" style="120" bestFit="1" customWidth="1"/>
    <col min="14099" max="14099" width="17.421875" style="120" customWidth="1"/>
    <col min="14100" max="14100" width="18.421875" style="120" customWidth="1"/>
    <col min="14101" max="14101" width="11.7109375" style="120" customWidth="1"/>
    <col min="14102" max="14102" width="11.8515625" style="120" customWidth="1"/>
    <col min="14103" max="14103" width="13.421875" style="120" customWidth="1"/>
    <col min="14104" max="14104" width="13.140625" style="120" bestFit="1" customWidth="1"/>
    <col min="14105" max="14105" width="15.00390625" style="120" customWidth="1"/>
    <col min="14106" max="14106" width="15.57421875" style="120" customWidth="1"/>
    <col min="14107" max="14107" width="15.28125" style="120" customWidth="1"/>
    <col min="14108" max="14108" width="13.421875" style="120" customWidth="1"/>
    <col min="14109" max="14109" width="15.57421875" style="120" customWidth="1"/>
    <col min="14110" max="14349" width="9.140625" style="120" customWidth="1"/>
    <col min="14350" max="14350" width="18.140625" style="120" customWidth="1"/>
    <col min="14351" max="14351" width="9.140625" style="120" hidden="1" customWidth="1"/>
    <col min="14352" max="14352" width="25.8515625" style="120" customWidth="1"/>
    <col min="14353" max="14353" width="31.57421875" style="120" customWidth="1"/>
    <col min="14354" max="14354" width="13.140625" style="120" bestFit="1" customWidth="1"/>
    <col min="14355" max="14355" width="17.421875" style="120" customWidth="1"/>
    <col min="14356" max="14356" width="18.421875" style="120" customWidth="1"/>
    <col min="14357" max="14357" width="11.7109375" style="120" customWidth="1"/>
    <col min="14358" max="14358" width="11.8515625" style="120" customWidth="1"/>
    <col min="14359" max="14359" width="13.421875" style="120" customWidth="1"/>
    <col min="14360" max="14360" width="13.140625" style="120" bestFit="1" customWidth="1"/>
    <col min="14361" max="14361" width="15.00390625" style="120" customWidth="1"/>
    <col min="14362" max="14362" width="15.57421875" style="120" customWidth="1"/>
    <col min="14363" max="14363" width="15.28125" style="120" customWidth="1"/>
    <col min="14364" max="14364" width="13.421875" style="120" customWidth="1"/>
    <col min="14365" max="14365" width="15.57421875" style="120" customWidth="1"/>
    <col min="14366" max="14605" width="9.140625" style="120" customWidth="1"/>
    <col min="14606" max="14606" width="18.140625" style="120" customWidth="1"/>
    <col min="14607" max="14607" width="9.140625" style="120" hidden="1" customWidth="1"/>
    <col min="14608" max="14608" width="25.8515625" style="120" customWidth="1"/>
    <col min="14609" max="14609" width="31.57421875" style="120" customWidth="1"/>
    <col min="14610" max="14610" width="13.140625" style="120" bestFit="1" customWidth="1"/>
    <col min="14611" max="14611" width="17.421875" style="120" customWidth="1"/>
    <col min="14612" max="14612" width="18.421875" style="120" customWidth="1"/>
    <col min="14613" max="14613" width="11.7109375" style="120" customWidth="1"/>
    <col min="14614" max="14614" width="11.8515625" style="120" customWidth="1"/>
    <col min="14615" max="14615" width="13.421875" style="120" customWidth="1"/>
    <col min="14616" max="14616" width="13.140625" style="120" bestFit="1" customWidth="1"/>
    <col min="14617" max="14617" width="15.00390625" style="120" customWidth="1"/>
    <col min="14618" max="14618" width="15.57421875" style="120" customWidth="1"/>
    <col min="14619" max="14619" width="15.28125" style="120" customWidth="1"/>
    <col min="14620" max="14620" width="13.421875" style="120" customWidth="1"/>
    <col min="14621" max="14621" width="15.57421875" style="120" customWidth="1"/>
    <col min="14622" max="14861" width="9.140625" style="120" customWidth="1"/>
    <col min="14862" max="14862" width="18.140625" style="120" customWidth="1"/>
    <col min="14863" max="14863" width="9.140625" style="120" hidden="1" customWidth="1"/>
    <col min="14864" max="14864" width="25.8515625" style="120" customWidth="1"/>
    <col min="14865" max="14865" width="31.57421875" style="120" customWidth="1"/>
    <col min="14866" max="14866" width="13.140625" style="120" bestFit="1" customWidth="1"/>
    <col min="14867" max="14867" width="17.421875" style="120" customWidth="1"/>
    <col min="14868" max="14868" width="18.421875" style="120" customWidth="1"/>
    <col min="14869" max="14869" width="11.7109375" style="120" customWidth="1"/>
    <col min="14870" max="14870" width="11.8515625" style="120" customWidth="1"/>
    <col min="14871" max="14871" width="13.421875" style="120" customWidth="1"/>
    <col min="14872" max="14872" width="13.140625" style="120" bestFit="1" customWidth="1"/>
    <col min="14873" max="14873" width="15.00390625" style="120" customWidth="1"/>
    <col min="14874" max="14874" width="15.57421875" style="120" customWidth="1"/>
    <col min="14875" max="14875" width="15.28125" style="120" customWidth="1"/>
    <col min="14876" max="14876" width="13.421875" style="120" customWidth="1"/>
    <col min="14877" max="14877" width="15.57421875" style="120" customWidth="1"/>
    <col min="14878" max="15117" width="9.140625" style="120" customWidth="1"/>
    <col min="15118" max="15118" width="18.140625" style="120" customWidth="1"/>
    <col min="15119" max="15119" width="9.140625" style="120" hidden="1" customWidth="1"/>
    <col min="15120" max="15120" width="25.8515625" style="120" customWidth="1"/>
    <col min="15121" max="15121" width="31.57421875" style="120" customWidth="1"/>
    <col min="15122" max="15122" width="13.140625" style="120" bestFit="1" customWidth="1"/>
    <col min="15123" max="15123" width="17.421875" style="120" customWidth="1"/>
    <col min="15124" max="15124" width="18.421875" style="120" customWidth="1"/>
    <col min="15125" max="15125" width="11.7109375" style="120" customWidth="1"/>
    <col min="15126" max="15126" width="11.8515625" style="120" customWidth="1"/>
    <col min="15127" max="15127" width="13.421875" style="120" customWidth="1"/>
    <col min="15128" max="15128" width="13.140625" style="120" bestFit="1" customWidth="1"/>
    <col min="15129" max="15129" width="15.00390625" style="120" customWidth="1"/>
    <col min="15130" max="15130" width="15.57421875" style="120" customWidth="1"/>
    <col min="15131" max="15131" width="15.28125" style="120" customWidth="1"/>
    <col min="15132" max="15132" width="13.421875" style="120" customWidth="1"/>
    <col min="15133" max="15133" width="15.57421875" style="120" customWidth="1"/>
    <col min="15134" max="15373" width="9.140625" style="120" customWidth="1"/>
    <col min="15374" max="15374" width="18.140625" style="120" customWidth="1"/>
    <col min="15375" max="15375" width="9.140625" style="120" hidden="1" customWidth="1"/>
    <col min="15376" max="15376" width="25.8515625" style="120" customWidth="1"/>
    <col min="15377" max="15377" width="31.57421875" style="120" customWidth="1"/>
    <col min="15378" max="15378" width="13.140625" style="120" bestFit="1" customWidth="1"/>
    <col min="15379" max="15379" width="17.421875" style="120" customWidth="1"/>
    <col min="15380" max="15380" width="18.421875" style="120" customWidth="1"/>
    <col min="15381" max="15381" width="11.7109375" style="120" customWidth="1"/>
    <col min="15382" max="15382" width="11.8515625" style="120" customWidth="1"/>
    <col min="15383" max="15383" width="13.421875" style="120" customWidth="1"/>
    <col min="15384" max="15384" width="13.140625" style="120" bestFit="1" customWidth="1"/>
    <col min="15385" max="15385" width="15.00390625" style="120" customWidth="1"/>
    <col min="15386" max="15386" width="15.57421875" style="120" customWidth="1"/>
    <col min="15387" max="15387" width="15.28125" style="120" customWidth="1"/>
    <col min="15388" max="15388" width="13.421875" style="120" customWidth="1"/>
    <col min="15389" max="15389" width="15.57421875" style="120" customWidth="1"/>
    <col min="15390" max="15629" width="9.140625" style="120" customWidth="1"/>
    <col min="15630" max="15630" width="18.140625" style="120" customWidth="1"/>
    <col min="15631" max="15631" width="9.140625" style="120" hidden="1" customWidth="1"/>
    <col min="15632" max="15632" width="25.8515625" style="120" customWidth="1"/>
    <col min="15633" max="15633" width="31.57421875" style="120" customWidth="1"/>
    <col min="15634" max="15634" width="13.140625" style="120" bestFit="1" customWidth="1"/>
    <col min="15635" max="15635" width="17.421875" style="120" customWidth="1"/>
    <col min="15636" max="15636" width="18.421875" style="120" customWidth="1"/>
    <col min="15637" max="15637" width="11.7109375" style="120" customWidth="1"/>
    <col min="15638" max="15638" width="11.8515625" style="120" customWidth="1"/>
    <col min="15639" max="15639" width="13.421875" style="120" customWidth="1"/>
    <col min="15640" max="15640" width="13.140625" style="120" bestFit="1" customWidth="1"/>
    <col min="15641" max="15641" width="15.00390625" style="120" customWidth="1"/>
    <col min="15642" max="15642" width="15.57421875" style="120" customWidth="1"/>
    <col min="15643" max="15643" width="15.28125" style="120" customWidth="1"/>
    <col min="15644" max="15644" width="13.421875" style="120" customWidth="1"/>
    <col min="15645" max="15645" width="15.57421875" style="120" customWidth="1"/>
    <col min="15646" max="15885" width="9.140625" style="120" customWidth="1"/>
    <col min="15886" max="15886" width="18.140625" style="120" customWidth="1"/>
    <col min="15887" max="15887" width="9.140625" style="120" hidden="1" customWidth="1"/>
    <col min="15888" max="15888" width="25.8515625" style="120" customWidth="1"/>
    <col min="15889" max="15889" width="31.57421875" style="120" customWidth="1"/>
    <col min="15890" max="15890" width="13.140625" style="120" bestFit="1" customWidth="1"/>
    <col min="15891" max="15891" width="17.421875" style="120" customWidth="1"/>
    <col min="15892" max="15892" width="18.421875" style="120" customWidth="1"/>
    <col min="15893" max="15893" width="11.7109375" style="120" customWidth="1"/>
    <col min="15894" max="15894" width="11.8515625" style="120" customWidth="1"/>
    <col min="15895" max="15895" width="13.421875" style="120" customWidth="1"/>
    <col min="15896" max="15896" width="13.140625" style="120" bestFit="1" customWidth="1"/>
    <col min="15897" max="15897" width="15.00390625" style="120" customWidth="1"/>
    <col min="15898" max="15898" width="15.57421875" style="120" customWidth="1"/>
    <col min="15899" max="15899" width="15.28125" style="120" customWidth="1"/>
    <col min="15900" max="15900" width="13.421875" style="120" customWidth="1"/>
    <col min="15901" max="15901" width="15.57421875" style="120" customWidth="1"/>
    <col min="15902" max="16141" width="9.140625" style="120" customWidth="1"/>
    <col min="16142" max="16142" width="18.140625" style="120" customWidth="1"/>
    <col min="16143" max="16143" width="9.140625" style="120" hidden="1" customWidth="1"/>
    <col min="16144" max="16144" width="25.8515625" style="120" customWidth="1"/>
    <col min="16145" max="16145" width="31.57421875" style="120" customWidth="1"/>
    <col min="16146" max="16146" width="13.140625" style="120" bestFit="1" customWidth="1"/>
    <col min="16147" max="16147" width="17.421875" style="120" customWidth="1"/>
    <col min="16148" max="16148" width="18.421875" style="120" customWidth="1"/>
    <col min="16149" max="16149" width="11.7109375" style="120" customWidth="1"/>
    <col min="16150" max="16150" width="11.8515625" style="120" customWidth="1"/>
    <col min="16151" max="16151" width="13.421875" style="120" customWidth="1"/>
    <col min="16152" max="16152" width="13.140625" style="120" bestFit="1" customWidth="1"/>
    <col min="16153" max="16153" width="15.00390625" style="120" customWidth="1"/>
    <col min="16154" max="16154" width="15.57421875" style="120" customWidth="1"/>
    <col min="16155" max="16155" width="15.28125" style="120" customWidth="1"/>
    <col min="16156" max="16156" width="13.421875" style="120" customWidth="1"/>
    <col min="16157" max="16157" width="15.57421875" style="120" customWidth="1"/>
    <col min="16158" max="16384" width="9.140625" style="120" customWidth="1"/>
  </cols>
  <sheetData>
    <row r="1" spans="2:35" s="119" customFormat="1" ht="26.25" customHeight="1">
      <c r="B1" s="193" t="s">
        <v>107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</row>
    <row r="2" spans="2:35" s="119" customFormat="1" ht="26.25" customHeight="1">
      <c r="B2" s="201" t="s">
        <v>122</v>
      </c>
      <c r="C2" s="202"/>
      <c r="D2" s="103">
        <v>2023</v>
      </c>
      <c r="E2" s="103">
        <v>2024</v>
      </c>
      <c r="F2" s="103">
        <v>2025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</row>
    <row r="3" spans="2:35" s="119" customFormat="1" ht="57" customHeight="1">
      <c r="B3" s="203"/>
      <c r="C3" s="204"/>
      <c r="D3" s="82">
        <f>G8+M8+R8+X8</f>
        <v>72102</v>
      </c>
      <c r="E3" s="82">
        <f>H8+N8+S8+Y8</f>
        <v>72473</v>
      </c>
      <c r="F3" s="82">
        <f>I8+O8+T8+Z8</f>
        <v>72934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</row>
    <row r="4" spans="1:35" s="119" customFormat="1" ht="27" customHeight="1">
      <c r="A4" s="200" t="s">
        <v>108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</row>
    <row r="6" spans="2:26" ht="45" customHeight="1">
      <c r="B6" s="194" t="s">
        <v>109</v>
      </c>
      <c r="C6" s="164" t="s">
        <v>110</v>
      </c>
      <c r="D6" s="164" t="s">
        <v>110</v>
      </c>
      <c r="E6" s="164" t="s">
        <v>110</v>
      </c>
      <c r="F6" s="164" t="s">
        <v>110</v>
      </c>
      <c r="G6" s="197"/>
      <c r="H6" s="198"/>
      <c r="I6" s="199"/>
      <c r="J6" s="164" t="s">
        <v>110</v>
      </c>
      <c r="K6" s="164" t="s">
        <v>110</v>
      </c>
      <c r="L6" s="164" t="s">
        <v>110</v>
      </c>
      <c r="M6" s="205"/>
      <c r="N6" s="206"/>
      <c r="O6" s="207"/>
      <c r="P6" s="164" t="s">
        <v>110</v>
      </c>
      <c r="Q6" s="164" t="s">
        <v>110</v>
      </c>
      <c r="R6" s="167"/>
      <c r="S6" s="168"/>
      <c r="T6" s="169"/>
      <c r="U6" s="164" t="s">
        <v>110</v>
      </c>
      <c r="V6" s="164" t="s">
        <v>110</v>
      </c>
      <c r="W6" s="164" t="s">
        <v>110</v>
      </c>
      <c r="X6" s="205"/>
      <c r="Y6" s="206"/>
      <c r="Z6" s="207"/>
    </row>
    <row r="7" spans="2:26" ht="12.75">
      <c r="B7" s="195"/>
      <c r="C7" s="165"/>
      <c r="D7" s="165"/>
      <c r="E7" s="165"/>
      <c r="F7" s="165"/>
      <c r="G7" s="103">
        <v>2023</v>
      </c>
      <c r="H7" s="103">
        <v>2024</v>
      </c>
      <c r="I7" s="103">
        <v>2025</v>
      </c>
      <c r="J7" s="165"/>
      <c r="K7" s="165"/>
      <c r="L7" s="165"/>
      <c r="M7" s="103">
        <v>2023</v>
      </c>
      <c r="N7" s="103">
        <v>2024</v>
      </c>
      <c r="O7" s="103">
        <v>2025</v>
      </c>
      <c r="P7" s="165"/>
      <c r="Q7" s="165"/>
      <c r="R7" s="103">
        <v>2023</v>
      </c>
      <c r="S7" s="103">
        <v>2024</v>
      </c>
      <c r="T7" s="103">
        <v>2025</v>
      </c>
      <c r="U7" s="165"/>
      <c r="V7" s="165"/>
      <c r="W7" s="165"/>
      <c r="X7" s="103">
        <v>2023</v>
      </c>
      <c r="Y7" s="103">
        <v>2024</v>
      </c>
      <c r="Z7" s="103">
        <v>2025</v>
      </c>
    </row>
    <row r="8" spans="2:30" ht="45.75" customHeight="1">
      <c r="B8" s="196"/>
      <c r="C8" s="166"/>
      <c r="D8" s="166"/>
      <c r="E8" s="166"/>
      <c r="F8" s="166"/>
      <c r="G8" s="67">
        <f>56520+14215</f>
        <v>70735</v>
      </c>
      <c r="H8" s="67">
        <f>56520+14620</f>
        <v>71140</v>
      </c>
      <c r="I8" s="67">
        <f>56520+15050</f>
        <v>71570</v>
      </c>
      <c r="J8" s="166"/>
      <c r="K8" s="166"/>
      <c r="L8" s="166"/>
      <c r="M8" s="67"/>
      <c r="N8" s="67"/>
      <c r="O8" s="67"/>
      <c r="P8" s="166"/>
      <c r="Q8" s="166"/>
      <c r="R8" s="67">
        <f>75+377</f>
        <v>452</v>
      </c>
      <c r="S8" s="67">
        <f>75+392</f>
        <v>467</v>
      </c>
      <c r="T8" s="67">
        <f>75+415</f>
        <v>490</v>
      </c>
      <c r="U8" s="166"/>
      <c r="V8" s="166"/>
      <c r="W8" s="166"/>
      <c r="X8" s="67">
        <f>274+641</f>
        <v>915</v>
      </c>
      <c r="Y8" s="67">
        <f>274+592</f>
        <v>866</v>
      </c>
      <c r="Z8" s="67">
        <f>274+600</f>
        <v>874</v>
      </c>
      <c r="AD8" s="120">
        <v>1</v>
      </c>
    </row>
    <row r="9" ht="18.75">
      <c r="Q9" s="125"/>
    </row>
    <row r="10" ht="19.5" thickBot="1">
      <c r="Q10" s="125"/>
    </row>
    <row r="11" spans="1:35" s="122" customFormat="1" ht="89.25" customHeight="1">
      <c r="A11" s="170" t="s">
        <v>111</v>
      </c>
      <c r="B11" s="170" t="s">
        <v>112</v>
      </c>
      <c r="C11" s="68" t="s">
        <v>113</v>
      </c>
      <c r="D11" s="173" t="s">
        <v>114</v>
      </c>
      <c r="E11" s="174"/>
      <c r="F11" s="174"/>
      <c r="G11" s="174"/>
      <c r="H11" s="174"/>
      <c r="I11" s="175"/>
      <c r="J11" s="173" t="s">
        <v>115</v>
      </c>
      <c r="K11" s="174"/>
      <c r="L11" s="174"/>
      <c r="M11" s="174"/>
      <c r="N11" s="174"/>
      <c r="O11" s="175"/>
      <c r="P11" s="173" t="s">
        <v>116</v>
      </c>
      <c r="Q11" s="174"/>
      <c r="R11" s="174"/>
      <c r="S11" s="174"/>
      <c r="T11" s="175"/>
      <c r="U11" s="173" t="s">
        <v>117</v>
      </c>
      <c r="V11" s="174"/>
      <c r="W11" s="174"/>
      <c r="X11" s="174"/>
      <c r="Y11" s="174"/>
      <c r="Z11" s="175"/>
      <c r="AA11" s="191" t="s">
        <v>118</v>
      </c>
      <c r="AB11" s="186"/>
      <c r="AC11" s="187"/>
      <c r="AD11" s="185" t="s">
        <v>119</v>
      </c>
      <c r="AE11" s="186"/>
      <c r="AF11" s="187"/>
      <c r="AG11" s="176" t="s">
        <v>120</v>
      </c>
      <c r="AH11" s="177"/>
      <c r="AI11" s="178"/>
    </row>
    <row r="12" spans="1:35" s="122" customFormat="1" ht="68.25" customHeight="1">
      <c r="A12" s="171"/>
      <c r="B12" s="171"/>
      <c r="C12" s="69" t="s">
        <v>121</v>
      </c>
      <c r="D12" s="70"/>
      <c r="E12" s="71"/>
      <c r="F12" s="71"/>
      <c r="G12" s="182"/>
      <c r="H12" s="183"/>
      <c r="I12" s="184"/>
      <c r="J12" s="70"/>
      <c r="K12" s="71"/>
      <c r="L12" s="71"/>
      <c r="M12" s="182"/>
      <c r="N12" s="183"/>
      <c r="O12" s="184"/>
      <c r="P12" s="70"/>
      <c r="Q12" s="71"/>
      <c r="R12" s="148"/>
      <c r="S12" s="149"/>
      <c r="T12" s="150"/>
      <c r="U12" s="70"/>
      <c r="V12" s="71"/>
      <c r="W12" s="71"/>
      <c r="X12" s="182"/>
      <c r="Y12" s="183"/>
      <c r="Z12" s="184"/>
      <c r="AA12" s="192"/>
      <c r="AB12" s="189"/>
      <c r="AC12" s="190"/>
      <c r="AD12" s="188"/>
      <c r="AE12" s="189"/>
      <c r="AF12" s="190"/>
      <c r="AG12" s="179"/>
      <c r="AH12" s="180"/>
      <c r="AI12" s="181"/>
    </row>
    <row r="13" spans="1:35" ht="38.25">
      <c r="A13" s="172"/>
      <c r="B13" s="172"/>
      <c r="C13" s="69" t="s">
        <v>154</v>
      </c>
      <c r="D13" s="72" t="s">
        <v>136</v>
      </c>
      <c r="E13" s="73" t="s">
        <v>155</v>
      </c>
      <c r="F13" s="126" t="s">
        <v>158</v>
      </c>
      <c r="G13" s="103">
        <v>2023</v>
      </c>
      <c r="H13" s="103">
        <v>2024</v>
      </c>
      <c r="I13" s="127">
        <v>2025</v>
      </c>
      <c r="J13" s="72" t="s">
        <v>137</v>
      </c>
      <c r="K13" s="73" t="s">
        <v>156</v>
      </c>
      <c r="L13" s="126" t="s">
        <v>157</v>
      </c>
      <c r="M13" s="103">
        <v>2023</v>
      </c>
      <c r="N13" s="103">
        <v>2024</v>
      </c>
      <c r="O13" s="127">
        <v>2025</v>
      </c>
      <c r="P13" s="72" t="s">
        <v>137</v>
      </c>
      <c r="Q13" s="73" t="s">
        <v>156</v>
      </c>
      <c r="R13" s="103">
        <v>2023</v>
      </c>
      <c r="S13" s="103">
        <v>2024</v>
      </c>
      <c r="T13" s="127">
        <v>2025</v>
      </c>
      <c r="U13" s="72" t="s">
        <v>137</v>
      </c>
      <c r="V13" s="73" t="s">
        <v>156</v>
      </c>
      <c r="W13" s="126" t="s">
        <v>157</v>
      </c>
      <c r="X13" s="103">
        <v>2023</v>
      </c>
      <c r="Y13" s="103">
        <v>2024</v>
      </c>
      <c r="Z13" s="127">
        <v>2025</v>
      </c>
      <c r="AA13" s="103">
        <v>2023</v>
      </c>
      <c r="AB13" s="103">
        <v>2024</v>
      </c>
      <c r="AC13" s="127">
        <v>2025</v>
      </c>
      <c r="AD13" s="103">
        <v>2023</v>
      </c>
      <c r="AE13" s="103">
        <v>2024</v>
      </c>
      <c r="AF13" s="127">
        <v>2025</v>
      </c>
      <c r="AG13" s="103">
        <v>2023</v>
      </c>
      <c r="AH13" s="103">
        <v>2024</v>
      </c>
      <c r="AI13" s="103">
        <v>2025</v>
      </c>
    </row>
    <row r="14" spans="1:35" s="128" customFormat="1" ht="18">
      <c r="A14" s="74">
        <v>0</v>
      </c>
      <c r="B14" s="74" t="s">
        <v>1</v>
      </c>
      <c r="C14" s="75">
        <f aca="true" t="shared" si="0" ref="C14:AC14">SUM(C15:C18)</f>
        <v>3168</v>
      </c>
      <c r="D14" s="76">
        <f t="shared" si="0"/>
        <v>61240</v>
      </c>
      <c r="E14" s="75">
        <f t="shared" si="0"/>
        <v>57916</v>
      </c>
      <c r="F14" s="75">
        <f t="shared" si="0"/>
        <v>33778</v>
      </c>
      <c r="G14" s="75">
        <f t="shared" si="0"/>
        <v>70735</v>
      </c>
      <c r="H14" s="75">
        <f t="shared" si="0"/>
        <v>71140</v>
      </c>
      <c r="I14" s="77">
        <f t="shared" si="0"/>
        <v>71570</v>
      </c>
      <c r="J14" s="76">
        <f t="shared" si="0"/>
        <v>0</v>
      </c>
      <c r="K14" s="75">
        <f t="shared" si="0"/>
        <v>0</v>
      </c>
      <c r="L14" s="75">
        <f t="shared" si="0"/>
        <v>0</v>
      </c>
      <c r="M14" s="75">
        <f t="shared" si="0"/>
        <v>0</v>
      </c>
      <c r="N14" s="75">
        <f t="shared" si="0"/>
        <v>0</v>
      </c>
      <c r="O14" s="77">
        <f t="shared" si="0"/>
        <v>0</v>
      </c>
      <c r="P14" s="76">
        <f>SUM(P15:P18)</f>
        <v>594</v>
      </c>
      <c r="Q14" s="75">
        <f t="shared" si="0"/>
        <v>340</v>
      </c>
      <c r="R14" s="75">
        <f t="shared" si="0"/>
        <v>452</v>
      </c>
      <c r="S14" s="75">
        <f t="shared" si="0"/>
        <v>467</v>
      </c>
      <c r="T14" s="77">
        <f>SUM(T15:T18)</f>
        <v>490</v>
      </c>
      <c r="U14" s="76">
        <f t="shared" si="0"/>
        <v>1077</v>
      </c>
      <c r="V14" s="75">
        <f t="shared" si="0"/>
        <v>854</v>
      </c>
      <c r="W14" s="75">
        <f t="shared" si="0"/>
        <v>498</v>
      </c>
      <c r="X14" s="75">
        <f t="shared" si="0"/>
        <v>915</v>
      </c>
      <c r="Y14" s="75">
        <f t="shared" si="0"/>
        <v>865.9999999999999</v>
      </c>
      <c r="Z14" s="77">
        <f t="shared" si="0"/>
        <v>873.9999999999999</v>
      </c>
      <c r="AA14" s="78">
        <f t="shared" si="0"/>
        <v>72101.99999999999</v>
      </c>
      <c r="AB14" s="75">
        <f t="shared" si="0"/>
        <v>72473</v>
      </c>
      <c r="AC14" s="75">
        <f t="shared" si="0"/>
        <v>72933.99999999999</v>
      </c>
      <c r="AD14" s="79"/>
      <c r="AE14" s="79"/>
      <c r="AF14" s="79"/>
      <c r="AG14" s="79"/>
      <c r="AH14" s="79"/>
      <c r="AI14" s="79"/>
    </row>
    <row r="15" spans="1:38" ht="31.5">
      <c r="A15" s="129">
        <v>1</v>
      </c>
      <c r="B15" s="130" t="s">
        <v>126</v>
      </c>
      <c r="C15" s="62">
        <v>2040</v>
      </c>
      <c r="D15" s="80">
        <v>11690</v>
      </c>
      <c r="E15" s="81">
        <v>12377</v>
      </c>
      <c r="F15" s="67">
        <v>7079</v>
      </c>
      <c r="G15" s="82">
        <f>$G$8*((0.3*D15/$D$14)+(0.35*E15/$E$14)+(0.35*F15/$F$14))</f>
        <v>14530.002448693067</v>
      </c>
      <c r="H15" s="82">
        <f>$H$8*((0.3*D15/$D$14)+(0.35*E15/$E$14)+(0.35*F15/$F$14))</f>
        <v>14613.195365802287</v>
      </c>
      <c r="I15" s="83">
        <f>$I$8*((0.3*D15/$D$14)+(0.35*E15/$E$14)+(0.35*F15/$F$14))</f>
        <v>14701.523648165163</v>
      </c>
      <c r="J15" s="80"/>
      <c r="K15" s="81">
        <v>0</v>
      </c>
      <c r="L15" s="81">
        <v>0</v>
      </c>
      <c r="M15" s="84">
        <v>0</v>
      </c>
      <c r="N15" s="84">
        <v>0</v>
      </c>
      <c r="O15" s="85">
        <v>0</v>
      </c>
      <c r="P15" s="132">
        <v>452</v>
      </c>
      <c r="Q15" s="132">
        <v>304</v>
      </c>
      <c r="R15" s="93">
        <f>$R$8*((0.45*P15/$P$14)+(0.55*Q15/$Q$14))</f>
        <v>377.0534046345811</v>
      </c>
      <c r="S15" s="93">
        <f>$S$8*((0.45*P15/$P$14)+(0.55*Q15/$Q$14))</f>
        <v>389.56623885918003</v>
      </c>
      <c r="T15" s="93">
        <f>$T$8*((0.45*P15/$P$14)+(0.55*Q15/$Q$14))</f>
        <v>408.7525846702317</v>
      </c>
      <c r="U15" s="132">
        <v>858</v>
      </c>
      <c r="V15" s="132">
        <v>680</v>
      </c>
      <c r="W15" s="132">
        <v>161</v>
      </c>
      <c r="X15" s="84">
        <f>$X$8*((0.3*U15/$U$14)+(0.35*V15/$V$14)+(0.35*W15/$W$14))</f>
        <v>577.2170898076987</v>
      </c>
      <c r="Y15" s="84">
        <f>$Y$8*((0.3*U15/$U$14)+(0.35*V15/$V$14)+(0.35*W15/$W$14))</f>
        <v>546.3060106813847</v>
      </c>
      <c r="Z15" s="85">
        <f>$Z$8*((0.3*U15/$U$14)+(0.35*V15/$V$14)+(0.35*W15/$W$14))</f>
        <v>551.3527174775177</v>
      </c>
      <c r="AA15" s="87">
        <f>G15+M15+X15+R15</f>
        <v>15484.272943135347</v>
      </c>
      <c r="AB15" s="82">
        <f aca="true" t="shared" si="1" ref="AA15:AC18">H15+N15+Y15+S15</f>
        <v>15549.067615342852</v>
      </c>
      <c r="AC15" s="82">
        <f t="shared" si="1"/>
        <v>15661.628950312912</v>
      </c>
      <c r="AD15" s="144">
        <v>0.17</v>
      </c>
      <c r="AE15" s="144">
        <v>0.17</v>
      </c>
      <c r="AF15" s="144">
        <v>0.17</v>
      </c>
      <c r="AG15" s="86">
        <f>AA15/C15*$C$14/$AA$14*AD15</f>
        <v>0.056695349047013024</v>
      </c>
      <c r="AH15" s="86">
        <f>AB15/C15*$C$14/$AB$14*AE15</f>
        <v>0.056641147054082394</v>
      </c>
      <c r="AI15" s="86">
        <f>AC15/C15*$C$14/$AC$14*AF15</f>
        <v>0.056690570144001556</v>
      </c>
      <c r="AK15" s="131"/>
      <c r="AL15" s="131"/>
    </row>
    <row r="16" spans="1:38" ht="15.75">
      <c r="A16" s="129">
        <v>2</v>
      </c>
      <c r="B16" s="130" t="s">
        <v>127</v>
      </c>
      <c r="C16" s="62">
        <v>405</v>
      </c>
      <c r="D16" s="80">
        <v>18345</v>
      </c>
      <c r="E16" s="81">
        <v>12825</v>
      </c>
      <c r="F16" s="67">
        <v>9121</v>
      </c>
      <c r="G16" s="82">
        <f aca="true" t="shared" si="2" ref="G16:G18">$G$8*((0.3*D16/$D$14)+(0.35*E16/$E$14)+(0.35*F16/$F$14))</f>
        <v>18524.22064115629</v>
      </c>
      <c r="H16" s="82">
        <f aca="true" t="shared" si="3" ref="H16:H18">$H$8*((0.3*D16/$D$14)+(0.35*E16/$E$14)+(0.35*F16/$F$14))</f>
        <v>18630.282836104594</v>
      </c>
      <c r="I16" s="83">
        <f aca="true" t="shared" si="4" ref="I16:I18">$I$8*((0.3*D16/$D$14)+(0.35*E16/$E$14)+(0.35*F16/$F$14))</f>
        <v>18742.89208012378</v>
      </c>
      <c r="J16" s="80">
        <v>0</v>
      </c>
      <c r="K16" s="81">
        <v>0</v>
      </c>
      <c r="L16" s="81">
        <v>0</v>
      </c>
      <c r="M16" s="84"/>
      <c r="N16" s="84"/>
      <c r="O16" s="85"/>
      <c r="P16" s="132">
        <v>42</v>
      </c>
      <c r="Q16" s="132">
        <v>60</v>
      </c>
      <c r="R16" s="93">
        <f>$R$8*((0.45*P16/$P$14)+(0.55*Q16/$Q$14))</f>
        <v>58.2524064171123</v>
      </c>
      <c r="S16" s="93">
        <f>$S$8*((0.45*P16/$P$14)+(0.55*Q16/$Q$14))</f>
        <v>60.185561497326205</v>
      </c>
      <c r="T16" s="93">
        <f>$T$8*((0.45*P16/$P$14)+(0.55*Q16/$Q$14))</f>
        <v>63.149732620320854</v>
      </c>
      <c r="U16" s="132">
        <v>90</v>
      </c>
      <c r="V16" s="132">
        <v>58</v>
      </c>
      <c r="W16" s="132">
        <v>236</v>
      </c>
      <c r="X16" s="84">
        <f aca="true" t="shared" si="5" ref="X16:X18">$X$8*((0.3*U16/$U$14)+(0.35*V16/$V$14)+(0.35*W16/$W$14))</f>
        <v>196.45377890391646</v>
      </c>
      <c r="Y16" s="84">
        <f aca="true" t="shared" si="6" ref="Y16:Y18">$Y$8*((0.3*U16/$U$14)+(0.35*V16/$V$14)+(0.35*W16/$W$14))</f>
        <v>185.93330331234063</v>
      </c>
      <c r="Z16" s="85">
        <f aca="true" t="shared" si="7" ref="Z16:Z18">$Z$8*((0.3*U16/$U$14)+(0.35*V16/$V$14)+(0.35*W16/$W$14))</f>
        <v>187.650931980353</v>
      </c>
      <c r="AA16" s="87">
        <f t="shared" si="1"/>
        <v>18778.92682647732</v>
      </c>
      <c r="AB16" s="82">
        <f t="shared" si="1"/>
        <v>18876.40170091426</v>
      </c>
      <c r="AC16" s="82">
        <f t="shared" si="1"/>
        <v>18993.692744724452</v>
      </c>
      <c r="AD16" s="144">
        <v>0.21</v>
      </c>
      <c r="AE16" s="144">
        <v>0.21</v>
      </c>
      <c r="AF16" s="144">
        <v>0.21</v>
      </c>
      <c r="AG16" s="86">
        <f>AA16/C16*$C$14/$AA$14*AD16</f>
        <v>0.4278316431392576</v>
      </c>
      <c r="AH16" s="86">
        <f>AB16/C16*$C$14/$AB$14*AE16</f>
        <v>0.42785086667727046</v>
      </c>
      <c r="AI16" s="86">
        <f>AC16/C16*$C$14/$AC$14*AF16</f>
        <v>0.4277882187822878</v>
      </c>
      <c r="AK16" s="131"/>
      <c r="AL16" s="131"/>
    </row>
    <row r="17" spans="1:38" ht="31.5">
      <c r="A17" s="129">
        <v>3</v>
      </c>
      <c r="B17" s="130" t="s">
        <v>128</v>
      </c>
      <c r="C17" s="62">
        <v>332</v>
      </c>
      <c r="D17" s="80">
        <v>571</v>
      </c>
      <c r="E17" s="81">
        <v>521</v>
      </c>
      <c r="F17" s="67">
        <v>219</v>
      </c>
      <c r="G17" s="82">
        <f t="shared" si="2"/>
        <v>581.0841572635821</v>
      </c>
      <c r="H17" s="82">
        <f t="shared" si="3"/>
        <v>584.4112101184878</v>
      </c>
      <c r="I17" s="83">
        <f t="shared" si="4"/>
        <v>587.9436366064123</v>
      </c>
      <c r="J17" s="80">
        <v>0</v>
      </c>
      <c r="K17" s="81">
        <v>0</v>
      </c>
      <c r="L17" s="81">
        <v>0</v>
      </c>
      <c r="M17" s="84"/>
      <c r="N17" s="84"/>
      <c r="O17" s="85"/>
      <c r="P17" s="132">
        <v>0</v>
      </c>
      <c r="Q17" s="132">
        <v>0</v>
      </c>
      <c r="R17" s="93">
        <f>$R$8*((0.45*P17/$P$14)+(0.55*Q17/$Q$14))</f>
        <v>0</v>
      </c>
      <c r="S17" s="93">
        <f>$S$8*((0.45*P17/$P$14)+(0.55*Q17/$Q$14))</f>
        <v>0</v>
      </c>
      <c r="T17" s="93">
        <f>$T$8*((0.45*P17/$P$14)+(0.55*Q17/$Q$14))</f>
        <v>0</v>
      </c>
      <c r="U17" s="132">
        <v>59</v>
      </c>
      <c r="V17" s="132">
        <v>57</v>
      </c>
      <c r="W17" s="132">
        <v>73</v>
      </c>
      <c r="X17" s="84">
        <f t="shared" si="5"/>
        <v>83.35688156525823</v>
      </c>
      <c r="Y17" s="84">
        <f t="shared" si="6"/>
        <v>78.89296113170889</v>
      </c>
      <c r="Z17" s="85">
        <f t="shared" si="7"/>
        <v>79.62176446779858</v>
      </c>
      <c r="AA17" s="87">
        <f t="shared" si="1"/>
        <v>664.4410388288404</v>
      </c>
      <c r="AB17" s="82">
        <f t="shared" si="1"/>
        <v>663.3041712501968</v>
      </c>
      <c r="AC17" s="82">
        <f t="shared" si="1"/>
        <v>667.5654010742109</v>
      </c>
      <c r="AD17" s="144">
        <v>0.01</v>
      </c>
      <c r="AE17" s="144">
        <v>0.01</v>
      </c>
      <c r="AF17" s="144">
        <v>0.01</v>
      </c>
      <c r="AG17" s="86">
        <f>AA17/C17*$C$14/$AA$14*AD17</f>
        <v>0.0008793387793538165</v>
      </c>
      <c r="AH17" s="86">
        <f>AB17/C17*$C$14/$AB$14*AE17</f>
        <v>0.0008733404557146348</v>
      </c>
      <c r="AI17" s="86">
        <f>AC17/C17*$C$14/$AC$14*AF17</f>
        <v>0.0008733953517485773</v>
      </c>
      <c r="AK17" s="131"/>
      <c r="AL17" s="131"/>
    </row>
    <row r="18" spans="1:38" ht="31.5">
      <c r="A18" s="129">
        <v>4</v>
      </c>
      <c r="B18" s="130" t="s">
        <v>129</v>
      </c>
      <c r="C18" s="62">
        <v>391</v>
      </c>
      <c r="D18" s="80">
        <v>30634</v>
      </c>
      <c r="E18" s="81">
        <v>32193</v>
      </c>
      <c r="F18" s="67">
        <v>17359</v>
      </c>
      <c r="G18" s="82">
        <f t="shared" si="2"/>
        <v>37099.69275288705</v>
      </c>
      <c r="H18" s="82">
        <f t="shared" si="3"/>
        <v>37312.110587974625</v>
      </c>
      <c r="I18" s="83">
        <f t="shared" si="4"/>
        <v>37537.64063510464</v>
      </c>
      <c r="J18" s="80">
        <v>0</v>
      </c>
      <c r="K18" s="81">
        <v>0</v>
      </c>
      <c r="L18" s="81">
        <v>0</v>
      </c>
      <c r="M18" s="84"/>
      <c r="N18" s="84"/>
      <c r="O18" s="85"/>
      <c r="P18" s="132">
        <v>100</v>
      </c>
      <c r="Q18" s="132">
        <v>-24</v>
      </c>
      <c r="R18" s="93">
        <f>$R$8*((0.45*P18/$P$14)+(0.55*Q18/$Q$14))</f>
        <v>16.694188948306596</v>
      </c>
      <c r="S18" s="93">
        <f>$S$8*((0.45*P18/$P$14)+(0.55*Q18/$Q$14))</f>
        <v>17.248199643493763</v>
      </c>
      <c r="T18" s="93">
        <f>$T$8*((0.45*P18/$P$14)+(0.55*Q18/$Q$14))</f>
        <v>18.097682709447415</v>
      </c>
      <c r="U18" s="132">
        <v>70</v>
      </c>
      <c r="V18" s="132">
        <v>59</v>
      </c>
      <c r="W18" s="132">
        <v>28</v>
      </c>
      <c r="X18" s="84">
        <f t="shared" si="5"/>
        <v>57.97224972312648</v>
      </c>
      <c r="Y18" s="84">
        <f t="shared" si="6"/>
        <v>54.86772487456561</v>
      </c>
      <c r="Z18" s="85">
        <f t="shared" si="7"/>
        <v>55.37458607433065</v>
      </c>
      <c r="AA18" s="87">
        <f t="shared" si="1"/>
        <v>37174.359191558484</v>
      </c>
      <c r="AB18" s="82">
        <f t="shared" si="1"/>
        <v>37384.226512492685</v>
      </c>
      <c r="AC18" s="82">
        <f t="shared" si="1"/>
        <v>37611.11290388842</v>
      </c>
      <c r="AD18" s="144">
        <v>0.41</v>
      </c>
      <c r="AE18" s="144">
        <v>0.41</v>
      </c>
      <c r="AF18" s="144">
        <v>0.41</v>
      </c>
      <c r="AG18" s="86">
        <f>AA18/C18*$C$14/$AA$14*AD18</f>
        <v>1.7127282125659966</v>
      </c>
      <c r="AH18" s="86">
        <f>AB18/C18*$C$14/$AB$14*AE18</f>
        <v>1.7135801886797208</v>
      </c>
      <c r="AI18" s="86">
        <f>AC18/C18*$C$14/$AC$14*AF18</f>
        <v>1.71308307292094</v>
      </c>
      <c r="AK18" s="131"/>
      <c r="AL18" s="131"/>
    </row>
    <row r="22" spans="30:35" ht="12.75">
      <c r="AD22" s="145"/>
      <c r="AE22" s="145"/>
      <c r="AF22" s="145"/>
      <c r="AG22" s="146"/>
      <c r="AH22" s="146"/>
      <c r="AI22" s="146"/>
    </row>
    <row r="23" spans="30:35" ht="12.75">
      <c r="AD23" s="145"/>
      <c r="AE23" s="145"/>
      <c r="AF23" s="145"/>
      <c r="AG23" s="146"/>
      <c r="AH23" s="146"/>
      <c r="AI23" s="146"/>
    </row>
    <row r="24" spans="30:35" ht="12.75">
      <c r="AD24" s="145"/>
      <c r="AE24" s="145"/>
      <c r="AF24" s="145"/>
      <c r="AG24" s="146"/>
      <c r="AH24" s="146"/>
      <c r="AI24" s="146"/>
    </row>
    <row r="25" spans="30:35" ht="12.75">
      <c r="AD25" s="145"/>
      <c r="AE25" s="145"/>
      <c r="AF25" s="145"/>
      <c r="AG25" s="146"/>
      <c r="AH25" s="146"/>
      <c r="AI25" s="146"/>
    </row>
    <row r="26" spans="30:35" ht="12.75">
      <c r="AD26" s="145"/>
      <c r="AE26" s="66"/>
      <c r="AF26" s="66"/>
      <c r="AG26" s="66"/>
      <c r="AH26" s="66"/>
      <c r="AI26" s="66"/>
    </row>
  </sheetData>
  <mergeCells count="32">
    <mergeCell ref="B1:AI1"/>
    <mergeCell ref="B6:B8"/>
    <mergeCell ref="C6:C8"/>
    <mergeCell ref="D6:D8"/>
    <mergeCell ref="E6:E8"/>
    <mergeCell ref="F6:F8"/>
    <mergeCell ref="G6:I6"/>
    <mergeCell ref="J6:J8"/>
    <mergeCell ref="K6:K8"/>
    <mergeCell ref="A4:AI4"/>
    <mergeCell ref="B2:C3"/>
    <mergeCell ref="V6:V8"/>
    <mergeCell ref="W6:W8"/>
    <mergeCell ref="X6:Z6"/>
    <mergeCell ref="L6:L8"/>
    <mergeCell ref="M6:O6"/>
    <mergeCell ref="AG11:AI12"/>
    <mergeCell ref="G12:I12"/>
    <mergeCell ref="M12:O12"/>
    <mergeCell ref="X12:Z12"/>
    <mergeCell ref="U11:Z11"/>
    <mergeCell ref="P11:T11"/>
    <mergeCell ref="AD11:AF12"/>
    <mergeCell ref="AA11:AC12"/>
    <mergeCell ref="P6:P8"/>
    <mergeCell ref="Q6:Q8"/>
    <mergeCell ref="R6:T6"/>
    <mergeCell ref="U6:U8"/>
    <mergeCell ref="A11:A13"/>
    <mergeCell ref="B11:B13"/>
    <mergeCell ref="D11:I11"/>
    <mergeCell ref="J11:O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3"/>
  <sheetViews>
    <sheetView view="pageBreakPreview" zoomScaleSheetLayoutView="100" workbookViewId="0" topLeftCell="A1">
      <pane xSplit="2" ySplit="9" topLeftCell="C10" activePane="bottomRight" state="frozen"/>
      <selection pane="topRight" activeCell="C1" sqref="C1"/>
      <selection pane="bottomLeft" activeCell="A10" sqref="A10"/>
      <selection pane="bottomRight" activeCell="A16" sqref="A16:XFD23"/>
    </sheetView>
  </sheetViews>
  <sheetFormatPr defaultColWidth="9.140625" defaultRowHeight="12.75"/>
  <cols>
    <col min="2" max="2" width="45.00390625" style="0" customWidth="1"/>
    <col min="3" max="8" width="17.140625" style="0" customWidth="1"/>
  </cols>
  <sheetData>
    <row r="1" spans="1:19" ht="25.5">
      <c r="A1" s="208" t="s">
        <v>101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30.75">
      <c r="A2" s="208" t="s">
        <v>159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19" ht="20.25">
      <c r="A3" s="209" t="s">
        <v>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9.5" thickBot="1">
      <c r="A4" s="219" t="s">
        <v>97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</row>
    <row r="5" spans="1:19" ht="27">
      <c r="A5" s="105"/>
      <c r="B5" s="105"/>
      <c r="C5" s="105"/>
      <c r="D5" s="106" t="s">
        <v>93</v>
      </c>
      <c r="E5" s="106" t="s">
        <v>94</v>
      </c>
      <c r="F5" s="106" t="s">
        <v>95</v>
      </c>
      <c r="G5" s="106" t="s">
        <v>96</v>
      </c>
      <c r="H5" s="106" t="s">
        <v>98</v>
      </c>
      <c r="I5" s="107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19" ht="19.5" thickBot="1">
      <c r="A6" s="105"/>
      <c r="B6" s="105"/>
      <c r="C6" s="105"/>
      <c r="D6" s="60">
        <v>0.6</v>
      </c>
      <c r="E6" s="60">
        <v>0.1</v>
      </c>
      <c r="F6" s="60">
        <v>0.1</v>
      </c>
      <c r="G6" s="60">
        <v>0.1</v>
      </c>
      <c r="H6" s="108">
        <v>0.1</v>
      </c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2.75" customHeight="1">
      <c r="A7" s="211" t="s">
        <v>0</v>
      </c>
      <c r="B7" s="211" t="s">
        <v>5</v>
      </c>
      <c r="C7" s="211" t="s">
        <v>3</v>
      </c>
      <c r="D7" s="211" t="s">
        <v>85</v>
      </c>
      <c r="E7" s="211" t="s">
        <v>91</v>
      </c>
      <c r="F7" s="211" t="s">
        <v>88</v>
      </c>
      <c r="G7" s="211" t="s">
        <v>87</v>
      </c>
      <c r="H7" s="211" t="s">
        <v>125</v>
      </c>
      <c r="I7" s="213" t="s">
        <v>79</v>
      </c>
      <c r="J7" s="214"/>
      <c r="K7" s="214"/>
      <c r="L7" s="214"/>
      <c r="M7" s="215"/>
      <c r="N7" s="216" t="s">
        <v>84</v>
      </c>
      <c r="O7" s="217"/>
      <c r="P7" s="217"/>
      <c r="Q7" s="217"/>
      <c r="R7" s="218"/>
      <c r="S7" s="210" t="s">
        <v>89</v>
      </c>
    </row>
    <row r="8" spans="1:19" ht="63.75">
      <c r="A8" s="212"/>
      <c r="B8" s="212"/>
      <c r="C8" s="212"/>
      <c r="D8" s="212"/>
      <c r="E8" s="212"/>
      <c r="F8" s="212"/>
      <c r="G8" s="212"/>
      <c r="H8" s="212"/>
      <c r="I8" s="110" t="s">
        <v>80</v>
      </c>
      <c r="J8" s="110" t="s">
        <v>92</v>
      </c>
      <c r="K8" s="110" t="s">
        <v>82</v>
      </c>
      <c r="L8" s="110" t="s">
        <v>83</v>
      </c>
      <c r="M8" s="110" t="s">
        <v>99</v>
      </c>
      <c r="N8" s="110" t="s">
        <v>80</v>
      </c>
      <c r="O8" s="110" t="s">
        <v>92</v>
      </c>
      <c r="P8" s="110" t="s">
        <v>82</v>
      </c>
      <c r="Q8" s="110" t="s">
        <v>83</v>
      </c>
      <c r="R8" s="110" t="s">
        <v>99</v>
      </c>
      <c r="S8" s="210"/>
    </row>
    <row r="9" spans="1:19" ht="12.75">
      <c r="A9" s="111">
        <f>COUNT(C10:C13)</f>
        <v>4</v>
      </c>
      <c r="B9" s="112" t="s">
        <v>1</v>
      </c>
      <c r="C9" s="113">
        <f aca="true" t="shared" si="0" ref="C9:H9">SUM(C10:C13)</f>
        <v>3168</v>
      </c>
      <c r="D9" s="113">
        <f t="shared" si="0"/>
        <v>51750</v>
      </c>
      <c r="E9" s="113">
        <f t="shared" si="0"/>
        <v>157</v>
      </c>
      <c r="F9" s="113">
        <f t="shared" si="0"/>
        <v>5786</v>
      </c>
      <c r="G9" s="113">
        <f t="shared" si="0"/>
        <v>22964</v>
      </c>
      <c r="H9" s="113">
        <f t="shared" si="0"/>
        <v>185</v>
      </c>
      <c r="I9" s="114">
        <f aca="true" t="shared" si="1" ref="I9:R9">MAX(I10:I13)</f>
        <v>37.83631713554987</v>
      </c>
      <c r="J9" s="114">
        <f t="shared" si="1"/>
        <v>0.0769607843137255</v>
      </c>
      <c r="K9" s="114">
        <f t="shared" si="1"/>
        <v>3.5530864197530865</v>
      </c>
      <c r="L9" s="114">
        <f t="shared" si="1"/>
        <v>30.50383631713555</v>
      </c>
      <c r="M9" s="114">
        <f t="shared" si="1"/>
        <v>0.11851851851851852</v>
      </c>
      <c r="N9" s="114">
        <f t="shared" si="1"/>
        <v>0.6</v>
      </c>
      <c r="O9" s="114">
        <f t="shared" si="1"/>
        <v>0.1</v>
      </c>
      <c r="P9" s="114">
        <f t="shared" si="1"/>
        <v>0.1</v>
      </c>
      <c r="Q9" s="114">
        <f t="shared" si="1"/>
        <v>0.1</v>
      </c>
      <c r="R9" s="114">
        <f t="shared" si="1"/>
        <v>0.1</v>
      </c>
      <c r="S9" s="46"/>
    </row>
    <row r="10" spans="1:19" ht="12.75">
      <c r="A10" s="115">
        <v>1</v>
      </c>
      <c r="B10" s="116" t="s">
        <v>126</v>
      </c>
      <c r="C10" s="62">
        <v>2040</v>
      </c>
      <c r="D10" s="62">
        <v>19958</v>
      </c>
      <c r="E10" s="62">
        <v>157</v>
      </c>
      <c r="F10" s="62">
        <v>3392</v>
      </c>
      <c r="G10" s="62">
        <v>2394</v>
      </c>
      <c r="H10" s="62">
        <v>89</v>
      </c>
      <c r="I10" s="117">
        <f>IF($C10=0,,D10/$C10)</f>
        <v>9.783333333333333</v>
      </c>
      <c r="J10" s="117">
        <f>IF($C10=0,,E10/$C10)</f>
        <v>0.0769607843137255</v>
      </c>
      <c r="K10" s="117">
        <f>IF($C10=0,,F10/$C10)</f>
        <v>1.6627450980392158</v>
      </c>
      <c r="L10" s="117">
        <f>IF($C10=0,,G10/$C10)</f>
        <v>1.173529411764706</v>
      </c>
      <c r="M10" s="117">
        <f>IF($C10=0,,H10/$C10)</f>
        <v>0.043627450980392155</v>
      </c>
      <c r="N10" s="117">
        <f>I10/I$9*D$6</f>
        <v>0.15514194943896176</v>
      </c>
      <c r="O10" s="117">
        <f>J10/J$9*E$6</f>
        <v>0.1</v>
      </c>
      <c r="P10" s="117">
        <f>K10/K$9*F$6</f>
        <v>0.046797203940645064</v>
      </c>
      <c r="Q10" s="117">
        <f>L10/L$9*G$6</f>
        <v>0.0038471535172298153</v>
      </c>
      <c r="R10" s="118">
        <f>M10/M$9*H$6</f>
        <v>0.036810661764705876</v>
      </c>
      <c r="S10" s="54">
        <f>IF(C10=0,0,N10+O10+P10+Q10+R10)</f>
        <v>0.3425969686615425</v>
      </c>
    </row>
    <row r="11" spans="1:19" ht="12.75">
      <c r="A11" s="115">
        <v>2</v>
      </c>
      <c r="B11" s="116" t="s">
        <v>127</v>
      </c>
      <c r="C11" s="62">
        <v>405</v>
      </c>
      <c r="D11" s="62">
        <v>9760</v>
      </c>
      <c r="E11" s="62"/>
      <c r="F11" s="62">
        <v>1439</v>
      </c>
      <c r="G11" s="62">
        <v>8445</v>
      </c>
      <c r="H11" s="62">
        <v>48</v>
      </c>
      <c r="I11" s="117">
        <f aca="true" t="shared" si="2" ref="I11:M13">IF($C11=0,,D11/$C11)</f>
        <v>24.098765432098766</v>
      </c>
      <c r="J11" s="117">
        <f t="shared" si="2"/>
        <v>0</v>
      </c>
      <c r="K11" s="117">
        <f t="shared" si="2"/>
        <v>3.5530864197530865</v>
      </c>
      <c r="L11" s="117">
        <f t="shared" si="2"/>
        <v>20.85185185185185</v>
      </c>
      <c r="M11" s="117">
        <f t="shared" si="2"/>
        <v>0.11851851851851852</v>
      </c>
      <c r="N11" s="117">
        <f aca="true" t="shared" si="3" ref="N11:R13">I11/I$9*D$6</f>
        <v>0.38215292485942753</v>
      </c>
      <c r="O11" s="117">
        <f t="shared" si="3"/>
        <v>0</v>
      </c>
      <c r="P11" s="117">
        <f t="shared" si="3"/>
        <v>0.1</v>
      </c>
      <c r="Q11" s="117">
        <f t="shared" si="3"/>
        <v>0.06835812923680787</v>
      </c>
      <c r="R11" s="118">
        <f t="shared" si="3"/>
        <v>0.1</v>
      </c>
      <c r="S11" s="54">
        <f aca="true" t="shared" si="4" ref="S11:S12">IF(C11=0,0,N11+O11+P11+Q11+R11)</f>
        <v>0.6505110540962353</v>
      </c>
    </row>
    <row r="12" spans="1:19" ht="12.75">
      <c r="A12" s="115">
        <v>3</v>
      </c>
      <c r="B12" s="116" t="s">
        <v>128</v>
      </c>
      <c r="C12" s="62">
        <v>332</v>
      </c>
      <c r="D12" s="62">
        <v>7238</v>
      </c>
      <c r="E12" s="62"/>
      <c r="F12" s="62">
        <v>176</v>
      </c>
      <c r="G12" s="62">
        <v>198</v>
      </c>
      <c r="H12" s="62">
        <v>3</v>
      </c>
      <c r="I12" s="117">
        <f t="shared" si="2"/>
        <v>21.801204819277107</v>
      </c>
      <c r="J12" s="117">
        <f t="shared" si="2"/>
        <v>0</v>
      </c>
      <c r="K12" s="117">
        <f t="shared" si="2"/>
        <v>0.5301204819277109</v>
      </c>
      <c r="L12" s="117">
        <f t="shared" si="2"/>
        <v>0.5963855421686747</v>
      </c>
      <c r="M12" s="117">
        <f t="shared" si="2"/>
        <v>0.009036144578313253</v>
      </c>
      <c r="N12" s="117">
        <f t="shared" si="3"/>
        <v>0.34571871370842294</v>
      </c>
      <c r="O12" s="117">
        <f t="shared" si="3"/>
        <v>0</v>
      </c>
      <c r="P12" s="117">
        <f t="shared" si="3"/>
        <v>0.014919999665095407</v>
      </c>
      <c r="Q12" s="117">
        <f t="shared" si="3"/>
        <v>0.001955116517044955</v>
      </c>
      <c r="R12" s="118">
        <f t="shared" si="3"/>
        <v>0.007624246987951807</v>
      </c>
      <c r="S12" s="54">
        <f t="shared" si="4"/>
        <v>0.3702180768785151</v>
      </c>
    </row>
    <row r="13" spans="1:19" ht="12.75">
      <c r="A13" s="115">
        <v>4</v>
      </c>
      <c r="B13" s="116" t="s">
        <v>129</v>
      </c>
      <c r="C13" s="62">
        <v>391</v>
      </c>
      <c r="D13" s="62">
        <v>14794</v>
      </c>
      <c r="E13" s="62"/>
      <c r="F13" s="62">
        <v>779</v>
      </c>
      <c r="G13" s="62">
        <v>11927</v>
      </c>
      <c r="H13" s="62">
        <v>45</v>
      </c>
      <c r="I13" s="117">
        <f t="shared" si="2"/>
        <v>37.83631713554987</v>
      </c>
      <c r="J13" s="117">
        <f t="shared" si="2"/>
        <v>0</v>
      </c>
      <c r="K13" s="117">
        <f t="shared" si="2"/>
        <v>1.9923273657289002</v>
      </c>
      <c r="L13" s="117">
        <f t="shared" si="2"/>
        <v>30.50383631713555</v>
      </c>
      <c r="M13" s="117">
        <f t="shared" si="2"/>
        <v>0.11508951406649616</v>
      </c>
      <c r="N13" s="117">
        <f t="shared" si="3"/>
        <v>0.6</v>
      </c>
      <c r="O13" s="117">
        <f t="shared" si="3"/>
        <v>0</v>
      </c>
      <c r="P13" s="117">
        <f t="shared" si="3"/>
        <v>0.05607314684643534</v>
      </c>
      <c r="Q13" s="117">
        <f t="shared" si="3"/>
        <v>0.1</v>
      </c>
      <c r="R13" s="118">
        <f t="shared" si="3"/>
        <v>0.09710677749360613</v>
      </c>
      <c r="S13" s="54">
        <f>IF(C13=0,0,N13+O13+P13+Q13+R13)</f>
        <v>0.8531799243400415</v>
      </c>
    </row>
  </sheetData>
  <mergeCells count="15">
    <mergeCell ref="A1:S1"/>
    <mergeCell ref="A2:S2"/>
    <mergeCell ref="A3:S3"/>
    <mergeCell ref="S7:S8"/>
    <mergeCell ref="G7:G8"/>
    <mergeCell ref="H7:H8"/>
    <mergeCell ref="I7:M7"/>
    <mergeCell ref="N7:R7"/>
    <mergeCell ref="A4:S4"/>
    <mergeCell ref="A7:A8"/>
    <mergeCell ref="B7:B8"/>
    <mergeCell ref="C7:C8"/>
    <mergeCell ref="D7:D8"/>
    <mergeCell ref="E7:E8"/>
    <mergeCell ref="F7:F8"/>
  </mergeCells>
  <conditionalFormatting sqref="I10:I13">
    <cfRule type="cellIs" priority="10" dxfId="0" operator="equal">
      <formula>I$9</formula>
    </cfRule>
  </conditionalFormatting>
  <conditionalFormatting sqref="J10:J13">
    <cfRule type="cellIs" priority="9" dxfId="0" operator="equal">
      <formula>J$9</formula>
    </cfRule>
  </conditionalFormatting>
  <conditionalFormatting sqref="K10:K13">
    <cfRule type="cellIs" priority="8" dxfId="0" operator="equal">
      <formula>K$9</formula>
    </cfRule>
  </conditionalFormatting>
  <conditionalFormatting sqref="L10:M13">
    <cfRule type="cellIs" priority="7" dxfId="0" operator="equal">
      <formula>L$9</formula>
    </cfRule>
  </conditionalFormatting>
  <conditionalFormatting sqref="N10:R13">
    <cfRule type="cellIs" priority="6" dxfId="0" operator="equal">
      <formula>N$9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6"/>
  <sheetViews>
    <sheetView tabSelected="1" view="pageBreakPreview" zoomScaleSheetLayoutView="100" workbookViewId="0" topLeftCell="A1">
      <pane xSplit="2" ySplit="8" topLeftCell="G9" activePane="bottomRight" state="frozen"/>
      <selection pane="topRight" activeCell="C1" sqref="C1"/>
      <selection pane="bottomLeft" activeCell="A9" sqref="A9"/>
      <selection pane="bottomRight" activeCell="I11" sqref="I11:J11"/>
    </sheetView>
  </sheetViews>
  <sheetFormatPr defaultColWidth="9.140625" defaultRowHeight="12.75"/>
  <cols>
    <col min="1" max="1" width="9.140625" style="91" customWidth="1"/>
    <col min="2" max="2" width="32.28125" style="91" customWidth="1"/>
    <col min="3" max="7" width="17.140625" style="91" customWidth="1"/>
    <col min="8" max="8" width="19.8515625" style="91" customWidth="1"/>
    <col min="9" max="11" width="21.28125" style="91" customWidth="1"/>
    <col min="12" max="12" width="15.57421875" style="91" bestFit="1" customWidth="1"/>
    <col min="13" max="13" width="14.28125" style="91" customWidth="1"/>
    <col min="14" max="14" width="10.140625" style="91" bestFit="1" customWidth="1"/>
    <col min="15" max="15" width="16.28125" style="91" customWidth="1"/>
    <col min="16" max="16384" width="9.140625" style="91" customWidth="1"/>
  </cols>
  <sheetData>
    <row r="1" spans="1:5" ht="25.5">
      <c r="A1" s="64" t="s">
        <v>100</v>
      </c>
      <c r="B1" s="64"/>
      <c r="C1" s="64"/>
      <c r="D1" s="64"/>
      <c r="E1" s="64"/>
    </row>
    <row r="2" spans="1:11" ht="20.25">
      <c r="A2" s="223" t="s">
        <v>4</v>
      </c>
      <c r="B2" s="223"/>
      <c r="C2" s="223"/>
      <c r="D2" s="223"/>
      <c r="E2" s="223"/>
      <c r="F2" s="223"/>
      <c r="G2" s="223"/>
      <c r="H2" s="223"/>
      <c r="I2" s="223"/>
      <c r="J2" s="94"/>
      <c r="K2" s="94"/>
    </row>
    <row r="3" spans="1:11" ht="18.75">
      <c r="A3" s="228"/>
      <c r="B3" s="228"/>
      <c r="C3" s="228"/>
      <c r="D3" s="228"/>
      <c r="E3" s="228"/>
      <c r="H3" s="89" t="s">
        <v>124</v>
      </c>
      <c r="I3" s="92">
        <v>1.001724</v>
      </c>
      <c r="J3" s="158">
        <v>0.8925969</v>
      </c>
      <c r="K3" s="92">
        <v>0.93483725</v>
      </c>
    </row>
    <row r="4" spans="1:11" ht="12.75" customHeight="1">
      <c r="A4" s="224" t="s">
        <v>0</v>
      </c>
      <c r="B4" s="224" t="s">
        <v>5</v>
      </c>
      <c r="C4" s="224" t="s">
        <v>123</v>
      </c>
      <c r="D4" s="224" t="s">
        <v>103</v>
      </c>
      <c r="E4" s="224" t="s">
        <v>104</v>
      </c>
      <c r="F4" s="226" t="s">
        <v>102</v>
      </c>
      <c r="G4" s="224" t="s">
        <v>106</v>
      </c>
      <c r="H4" s="224" t="s">
        <v>105</v>
      </c>
      <c r="I4" s="224" t="s">
        <v>130</v>
      </c>
      <c r="J4" s="220" t="s">
        <v>134</v>
      </c>
      <c r="K4" s="222" t="s">
        <v>135</v>
      </c>
    </row>
    <row r="5" spans="1:15" ht="113.25" customHeight="1">
      <c r="A5" s="225"/>
      <c r="B5" s="225"/>
      <c r="C5" s="225"/>
      <c r="D5" s="225"/>
      <c r="E5" s="225"/>
      <c r="F5" s="227"/>
      <c r="G5" s="225"/>
      <c r="H5" s="225"/>
      <c r="I5" s="225"/>
      <c r="J5" s="221"/>
      <c r="K5" s="222"/>
      <c r="L5" s="154"/>
      <c r="M5" s="154"/>
      <c r="N5" s="154"/>
      <c r="O5" s="154"/>
    </row>
    <row r="6" spans="1:15" ht="12.75">
      <c r="A6" s="42">
        <f>COUNT(C7:C10)</f>
        <v>4</v>
      </c>
      <c r="B6" s="43" t="s">
        <v>1</v>
      </c>
      <c r="C6" s="44">
        <f>SUM(C7:C10)</f>
        <v>3168</v>
      </c>
      <c r="D6" s="44"/>
      <c r="E6" s="44"/>
      <c r="F6" s="44"/>
      <c r="G6" s="90">
        <f>SUM(G7:G10)</f>
        <v>0</v>
      </c>
      <c r="H6" s="44"/>
      <c r="I6" s="100">
        <f>SUM(I7:I10)</f>
        <v>18160.143364551044</v>
      </c>
      <c r="J6" s="152">
        <f>SUM(J7:J10)</f>
        <v>16483.820098821223</v>
      </c>
      <c r="K6" s="100">
        <f>SUM(K7:K10)</f>
        <v>17237.419761144058</v>
      </c>
      <c r="L6" s="154"/>
      <c r="N6" s="154"/>
      <c r="O6" s="154"/>
    </row>
    <row r="7" spans="1:15" ht="12.75">
      <c r="A7" s="49">
        <v>1</v>
      </c>
      <c r="B7" s="61" t="s">
        <v>126</v>
      </c>
      <c r="C7" s="88">
        <f>ИБР!C10</f>
        <v>2040</v>
      </c>
      <c r="D7" s="95">
        <f>ИНП!AG15</f>
        <v>0.056695349047013024</v>
      </c>
      <c r="E7" s="95">
        <f>ИБР!S10</f>
        <v>0.3425969686615425</v>
      </c>
      <c r="F7" s="95">
        <f>D7/E7</f>
        <v>0.16548701311780534</v>
      </c>
      <c r="G7" s="62"/>
      <c r="H7" s="95">
        <f>F7+G7/(ИНП!$D$3/$C$6*'Дотация '!E7*'Дотация '!C7)</f>
        <v>0.16548701311780534</v>
      </c>
      <c r="I7" s="142">
        <f>ИНП!$D$3/$C$6*('Дотация '!$I$3-'Дотация '!$H7)*'Дотация '!$E7*'Дотация '!$C7</f>
        <v>13301.640147060516</v>
      </c>
      <c r="J7" s="159">
        <f>ИНП!$E$3/$C$6*('Дотация '!$J$3-'Дотация '!$H7)*'Дотация '!$E7*'Дотация '!$C7</f>
        <v>11625.316881330695</v>
      </c>
      <c r="K7" s="143">
        <f>ИНП!$F$3/$C$6*('Дотация '!$K$3-'Дотация '!$H7)*'Дотация '!$E7*'Дотация '!$C7</f>
        <v>12378.916543653531</v>
      </c>
      <c r="L7" s="155"/>
      <c r="M7" s="138"/>
      <c r="N7" s="155"/>
      <c r="O7" s="156"/>
    </row>
    <row r="8" spans="1:15" ht="12.75">
      <c r="A8" s="49">
        <v>2</v>
      </c>
      <c r="B8" s="61" t="s">
        <v>127</v>
      </c>
      <c r="C8" s="88">
        <f>ИБР!C11</f>
        <v>405</v>
      </c>
      <c r="D8" s="95">
        <f>ИНП!AG16</f>
        <v>0.4278316431392576</v>
      </c>
      <c r="E8" s="95">
        <f>ИБР!S11</f>
        <v>0.6505110540962353</v>
      </c>
      <c r="F8" s="95">
        <f aca="true" t="shared" si="0" ref="F8:F10">D8/E8</f>
        <v>0.6576854312393667</v>
      </c>
      <c r="G8" s="62"/>
      <c r="H8" s="95">
        <f>F8+G8/(ИНП!$D$3/$C$6*'Дотация '!E8*'Дотация '!C8)</f>
        <v>0.6576854312393667</v>
      </c>
      <c r="I8" s="142">
        <f>ИНП!$D$3/$C$6*('Дотация '!$I$3-'Дотация '!$H8)*'Дотация '!$E8*'Дотация '!$C8</f>
        <v>2062.9037960809146</v>
      </c>
      <c r="J8" s="159">
        <f>ИНП!$D$3/$C$6*('Дотация '!$I$3-'Дотация '!$H8)*'Дотация '!$E8*'Дотация '!$C8</f>
        <v>2062.9037960809146</v>
      </c>
      <c r="K8" s="143">
        <f>ИНП!$D$3/$C$6*('Дотация '!$I$3-'Дотация '!$H8)*'Дотация '!$E8*'Дотация '!$C8</f>
        <v>2062.9037960809146</v>
      </c>
      <c r="L8" s="155"/>
      <c r="M8" s="138"/>
      <c r="N8" s="155"/>
      <c r="O8" s="157"/>
    </row>
    <row r="9" spans="1:15" ht="12.75">
      <c r="A9" s="49">
        <v>3</v>
      </c>
      <c r="B9" s="61" t="s">
        <v>128</v>
      </c>
      <c r="C9" s="88">
        <f>ИБР!C12</f>
        <v>332</v>
      </c>
      <c r="D9" s="95">
        <f>ИНП!AG17</f>
        <v>0.0008793387793538165</v>
      </c>
      <c r="E9" s="95">
        <f>ИБР!S12</f>
        <v>0.3702180768785151</v>
      </c>
      <c r="F9" s="95">
        <f t="shared" si="0"/>
        <v>0.002375191364959649</v>
      </c>
      <c r="G9" s="62"/>
      <c r="H9" s="143">
        <f>F9+G9/(ИНП!$D$3/$C$6*'Дотация '!E9*'Дотация '!C9)</f>
        <v>0.002375191364959649</v>
      </c>
      <c r="I9" s="142">
        <f>ИНП!$D$3/$C$6*('Дотация '!$I$3-'Дотация '!$H9)*'Дотация '!$E9*'Дотация '!$C9</f>
        <v>2795.599421409613</v>
      </c>
      <c r="J9" s="159">
        <f>ИНП!$D$3/$C$6*('Дотация '!$I$3-'Дотация '!$H9)*'Дотация '!$E9*'Дотация '!$C9</f>
        <v>2795.599421409613</v>
      </c>
      <c r="K9" s="143">
        <f>ИНП!$D$3/$C$6*('Дотация '!$I$3-'Дотация '!$H9)*'Дотация '!$E9*'Дотация '!$C9</f>
        <v>2795.599421409613</v>
      </c>
      <c r="L9" s="155"/>
      <c r="M9" s="138"/>
      <c r="N9" s="155"/>
      <c r="O9" s="157"/>
    </row>
    <row r="10" spans="1:15" ht="12.75">
      <c r="A10" s="49">
        <v>4</v>
      </c>
      <c r="B10" s="61" t="s">
        <v>129</v>
      </c>
      <c r="C10" s="88">
        <f>ИБР!C13</f>
        <v>391</v>
      </c>
      <c r="D10" s="95">
        <f>ИНП!AG18</f>
        <v>1.7127282125659966</v>
      </c>
      <c r="E10" s="95">
        <f>ИБР!S13</f>
        <v>0.8531799243400415</v>
      </c>
      <c r="F10" s="95">
        <f t="shared" si="0"/>
        <v>2.007464268326332</v>
      </c>
      <c r="G10" s="62"/>
      <c r="H10" s="95">
        <f>F10+G10/(ИНП!$D$3/$C$6*'Дотация '!E10*'Дотация '!C10)</f>
        <v>2.007464268326332</v>
      </c>
      <c r="I10" s="95"/>
      <c r="J10" s="153"/>
      <c r="K10" s="95"/>
      <c r="L10" s="155"/>
      <c r="M10" s="154"/>
      <c r="N10" s="154"/>
      <c r="O10" s="156"/>
    </row>
    <row r="11" spans="9:15" ht="27" customHeight="1">
      <c r="I11" s="138"/>
      <c r="J11" s="138"/>
      <c r="K11" s="160"/>
      <c r="L11" s="155"/>
      <c r="M11" s="155"/>
      <c r="N11" s="155"/>
      <c r="O11" s="157"/>
    </row>
    <row r="12" spans="4:13" ht="38.25">
      <c r="D12" s="147" t="s">
        <v>153</v>
      </c>
      <c r="E12" s="139">
        <v>2023</v>
      </c>
      <c r="F12" s="139">
        <v>2024</v>
      </c>
      <c r="G12" s="139">
        <v>2025</v>
      </c>
      <c r="H12" s="136" t="s">
        <v>152</v>
      </c>
      <c r="I12" s="136" t="s">
        <v>149</v>
      </c>
      <c r="J12" s="135" t="s">
        <v>151</v>
      </c>
      <c r="K12" s="135">
        <v>2023</v>
      </c>
      <c r="L12" s="135">
        <v>2024</v>
      </c>
      <c r="M12" s="135">
        <v>2025</v>
      </c>
    </row>
    <row r="13" spans="4:13" ht="12.75">
      <c r="D13" s="140" t="s">
        <v>138</v>
      </c>
      <c r="E13" s="140">
        <v>27769</v>
      </c>
      <c r="F13" s="140">
        <v>29152.4</v>
      </c>
      <c r="G13" s="140">
        <v>30602</v>
      </c>
      <c r="H13" s="135" t="s">
        <v>145</v>
      </c>
      <c r="I13" s="151">
        <f>(ИБР!D10+ИБР!E10+ИБР!F10+ИБР!G10+ИБР!H10)-ИНП!AA15</f>
        <v>10505.727056864653</v>
      </c>
      <c r="J13" s="135">
        <f>I13/I17</f>
        <v>0.49392862582474956</v>
      </c>
      <c r="K13" s="137">
        <f>E17*J13</f>
        <v>6583.574653618087</v>
      </c>
      <c r="L13" s="137">
        <f>F17*J13</f>
        <v>6911.543261165721</v>
      </c>
      <c r="M13" s="137">
        <f>G17*J13</f>
        <v>7255.317584739746</v>
      </c>
    </row>
    <row r="14" spans="4:13" ht="12.75">
      <c r="D14" s="139" t="s">
        <v>139</v>
      </c>
      <c r="E14" s="139">
        <f>E13*48%</f>
        <v>13329.119999999999</v>
      </c>
      <c r="F14" s="139">
        <f aca="true" t="shared" si="1" ref="F14:G14">F13*48%</f>
        <v>13993.152</v>
      </c>
      <c r="G14" s="139">
        <f t="shared" si="1"/>
        <v>14688.96</v>
      </c>
      <c r="H14" s="135" t="s">
        <v>146</v>
      </c>
      <c r="I14" s="151">
        <v>1113</v>
      </c>
      <c r="J14" s="135">
        <f aca="true" t="shared" si="2" ref="J14:J15">I14/I18</f>
        <v>0.052327892926147694</v>
      </c>
      <c r="K14" s="137">
        <f>E17*J14</f>
        <v>697.4784848126226</v>
      </c>
      <c r="L14" s="137">
        <f>F17*J14</f>
        <v>732.2242057155847</v>
      </c>
      <c r="M14" s="137">
        <f>G17*J14</f>
        <v>768.6444191921835</v>
      </c>
    </row>
    <row r="15" spans="4:13" ht="12.75">
      <c r="D15" s="139" t="s">
        <v>140</v>
      </c>
      <c r="E15" s="141">
        <f>E13-E14</f>
        <v>14439.880000000001</v>
      </c>
      <c r="F15" s="141">
        <f aca="true" t="shared" si="3" ref="F15:G15">F13-F14</f>
        <v>15159.248000000001</v>
      </c>
      <c r="G15" s="141">
        <f t="shared" si="3"/>
        <v>15913.04</v>
      </c>
      <c r="H15" s="135" t="s">
        <v>147</v>
      </c>
      <c r="I15" s="151">
        <v>9651</v>
      </c>
      <c r="J15" s="135">
        <f t="shared" si="2"/>
        <v>0.45374348124910274</v>
      </c>
      <c r="K15" s="137">
        <f>E17*J15</f>
        <v>6047.94686156929</v>
      </c>
      <c r="L15" s="137">
        <f>F17*J15</f>
        <v>6349.232533118695</v>
      </c>
      <c r="M15" s="137">
        <f>G17*J15</f>
        <v>6665.03799606807</v>
      </c>
    </row>
    <row r="16" spans="4:13" ht="12.75">
      <c r="D16" s="140" t="s">
        <v>141</v>
      </c>
      <c r="E16" s="139"/>
      <c r="F16" s="139"/>
      <c r="G16" s="139"/>
      <c r="H16" s="135" t="s">
        <v>148</v>
      </c>
      <c r="I16" s="135">
        <v>0</v>
      </c>
      <c r="J16" s="135"/>
      <c r="K16" s="135"/>
      <c r="L16" s="135"/>
      <c r="M16" s="135"/>
    </row>
    <row r="17" spans="4:13" ht="12.75">
      <c r="D17" s="139" t="s">
        <v>142</v>
      </c>
      <c r="E17" s="139">
        <v>13329</v>
      </c>
      <c r="F17" s="139">
        <v>13993</v>
      </c>
      <c r="G17" s="139">
        <v>14689</v>
      </c>
      <c r="H17" s="135" t="s">
        <v>150</v>
      </c>
      <c r="I17" s="135">
        <f>I13+I14+I15</f>
        <v>21269.727056864653</v>
      </c>
      <c r="J17" s="135">
        <f>J13+J14+J15</f>
        <v>1</v>
      </c>
      <c r="K17" s="137">
        <f>K13+K14+K15</f>
        <v>13329</v>
      </c>
      <c r="L17" s="137">
        <f aca="true" t="shared" si="4" ref="L17:M17">L13+L14+L15</f>
        <v>13993</v>
      </c>
      <c r="M17" s="137">
        <f t="shared" si="4"/>
        <v>14689</v>
      </c>
    </row>
    <row r="18" spans="4:13" ht="12.75">
      <c r="D18" s="139" t="s">
        <v>143</v>
      </c>
      <c r="E18" s="141">
        <f>E13-E17</f>
        <v>14440</v>
      </c>
      <c r="F18" s="141">
        <f aca="true" t="shared" si="5" ref="F18:G18">F13-F17</f>
        <v>15159.400000000001</v>
      </c>
      <c r="G18" s="141">
        <f t="shared" si="5"/>
        <v>15913</v>
      </c>
      <c r="H18" s="135"/>
      <c r="I18" s="135">
        <f>I17</f>
        <v>21269.727056864653</v>
      </c>
      <c r="J18" s="135"/>
      <c r="K18" s="135"/>
      <c r="L18" s="135"/>
      <c r="M18" s="135"/>
    </row>
    <row r="19" spans="4:13" ht="12.75">
      <c r="D19" s="139" t="s">
        <v>144</v>
      </c>
      <c r="E19" s="139"/>
      <c r="F19" s="141"/>
      <c r="G19" s="139"/>
      <c r="H19" s="135"/>
      <c r="I19" s="135">
        <f>I18</f>
        <v>21269.727056864653</v>
      </c>
      <c r="J19" s="135"/>
      <c r="K19" s="135"/>
      <c r="L19" s="135"/>
      <c r="M19" s="135"/>
    </row>
    <row r="20" spans="4:13" ht="12.75">
      <c r="D20" s="139"/>
      <c r="E20" s="139">
        <f>E17+E18+E19</f>
        <v>27769</v>
      </c>
      <c r="F20" s="139">
        <f aca="true" t="shared" si="6" ref="F20:G20">F17+F18+F19</f>
        <v>29152.4</v>
      </c>
      <c r="G20" s="139">
        <f t="shared" si="6"/>
        <v>30602</v>
      </c>
      <c r="H20" s="135"/>
      <c r="I20" s="135"/>
      <c r="J20" s="135"/>
      <c r="K20" s="135"/>
      <c r="L20" s="135"/>
      <c r="M20" s="135"/>
    </row>
    <row r="23" spans="12:14" ht="12.75">
      <c r="L23" s="138"/>
      <c r="M23" s="138"/>
      <c r="N23" s="138"/>
    </row>
    <row r="24" spans="4:8" ht="12.75">
      <c r="D24" s="154"/>
      <c r="E24" s="154"/>
      <c r="F24" s="154"/>
      <c r="G24" s="154"/>
      <c r="H24" s="154"/>
    </row>
    <row r="25" spans="4:11" ht="12.75">
      <c r="D25" s="154"/>
      <c r="E25" s="154"/>
      <c r="F25" s="154"/>
      <c r="G25" s="154"/>
      <c r="H25" s="154"/>
      <c r="K25" s="163"/>
    </row>
    <row r="26" spans="4:8" ht="12.75">
      <c r="D26" s="154"/>
      <c r="E26" s="161"/>
      <c r="F26" s="162"/>
      <c r="G26" s="162"/>
      <c r="H26" s="154"/>
    </row>
  </sheetData>
  <mergeCells count="13">
    <mergeCell ref="J4:J5"/>
    <mergeCell ref="K4:K5"/>
    <mergeCell ref="A2:I2"/>
    <mergeCell ref="I4:I5"/>
    <mergeCell ref="G4:G5"/>
    <mergeCell ref="H4:H5"/>
    <mergeCell ref="F4:F5"/>
    <mergeCell ref="A3:E3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3"/>
  <sheetViews>
    <sheetView workbookViewId="0" topLeftCell="A1">
      <selection activeCell="L6" sqref="L6"/>
    </sheetView>
  </sheetViews>
  <sheetFormatPr defaultColWidth="9.140625" defaultRowHeight="12.75"/>
  <cols>
    <col min="1" max="1" width="9.140625" style="91" customWidth="1"/>
    <col min="2" max="2" width="45.00390625" style="91" customWidth="1"/>
    <col min="3" max="7" width="17.140625" style="91" customWidth="1"/>
    <col min="8" max="8" width="19.8515625" style="91" customWidth="1"/>
    <col min="9" max="11" width="21.28125" style="91" customWidth="1"/>
    <col min="12" max="12" width="15.57421875" style="91" bestFit="1" customWidth="1"/>
    <col min="13" max="16384" width="9.140625" style="91" customWidth="1"/>
  </cols>
  <sheetData>
    <row r="1" spans="1:5" ht="25.5">
      <c r="A1" s="64" t="s">
        <v>100</v>
      </c>
      <c r="B1" s="64"/>
      <c r="C1" s="64"/>
      <c r="D1" s="64"/>
      <c r="E1" s="64"/>
    </row>
    <row r="2" spans="1:11" ht="20.25">
      <c r="A2" s="223" t="s">
        <v>4</v>
      </c>
      <c r="B2" s="223"/>
      <c r="C2" s="223"/>
      <c r="D2" s="223"/>
      <c r="E2" s="223"/>
      <c r="F2" s="223"/>
      <c r="G2" s="223"/>
      <c r="H2" s="223"/>
      <c r="I2" s="223"/>
      <c r="J2" s="133"/>
      <c r="K2" s="133"/>
    </row>
    <row r="3" spans="1:11" ht="18.75">
      <c r="A3" s="228"/>
      <c r="B3" s="228"/>
      <c r="C3" s="228"/>
      <c r="D3" s="228"/>
      <c r="E3" s="228"/>
      <c r="H3" s="89" t="s">
        <v>124</v>
      </c>
      <c r="I3" s="92">
        <v>2.06</v>
      </c>
      <c r="J3" s="92">
        <v>2.119755</v>
      </c>
      <c r="K3" s="92">
        <v>2.190527</v>
      </c>
    </row>
    <row r="4" spans="1:11" ht="12.75" customHeight="1">
      <c r="A4" s="224" t="s">
        <v>0</v>
      </c>
      <c r="B4" s="224" t="s">
        <v>5</v>
      </c>
      <c r="C4" s="224" t="s">
        <v>123</v>
      </c>
      <c r="D4" s="224" t="s">
        <v>103</v>
      </c>
      <c r="E4" s="224" t="s">
        <v>104</v>
      </c>
      <c r="F4" s="226" t="s">
        <v>102</v>
      </c>
      <c r="G4" s="224" t="s">
        <v>106</v>
      </c>
      <c r="H4" s="224" t="s">
        <v>105</v>
      </c>
      <c r="I4" s="224" t="s">
        <v>132</v>
      </c>
      <c r="J4" s="224" t="s">
        <v>131</v>
      </c>
      <c r="K4" s="224" t="s">
        <v>130</v>
      </c>
    </row>
    <row r="5" spans="1:11" ht="113.25" customHeight="1">
      <c r="A5" s="225"/>
      <c r="B5" s="225"/>
      <c r="C5" s="225"/>
      <c r="D5" s="225"/>
      <c r="E5" s="225"/>
      <c r="F5" s="227"/>
      <c r="G5" s="225"/>
      <c r="H5" s="225"/>
      <c r="I5" s="225"/>
      <c r="J5" s="225"/>
      <c r="K5" s="225"/>
    </row>
    <row r="6" spans="1:12" ht="12.75">
      <c r="A6" s="42">
        <f>COUNT(C7:C10)</f>
        <v>4</v>
      </c>
      <c r="B6" s="43" t="s">
        <v>1</v>
      </c>
      <c r="C6" s="44">
        <f>SUM(C7:C10)</f>
        <v>3168</v>
      </c>
      <c r="D6" s="44"/>
      <c r="E6" s="44"/>
      <c r="F6" s="44"/>
      <c r="G6" s="90">
        <f>SUM(G7:G10)</f>
        <v>0</v>
      </c>
      <c r="H6" s="44"/>
      <c r="I6" s="100">
        <f>SUM(I7:I10)</f>
        <v>18160.143364551044</v>
      </c>
      <c r="J6" s="134">
        <f>SUM(J7:J10)</f>
        <v>0</v>
      </c>
      <c r="K6" s="134">
        <f>SUM(K7:K10)</f>
        <v>0</v>
      </c>
      <c r="L6" s="91">
        <v>13709760</v>
      </c>
    </row>
    <row r="7" spans="1:11" ht="12.75">
      <c r="A7" s="49">
        <v>1</v>
      </c>
      <c r="B7" s="61" t="s">
        <v>126</v>
      </c>
      <c r="C7" s="88">
        <f>ИБР!C10</f>
        <v>2040</v>
      </c>
      <c r="D7" s="95">
        <f>ИНП!AH15</f>
        <v>0.056641147054082394</v>
      </c>
      <c r="E7" s="95">
        <f>ИБР!S10</f>
        <v>0.3425969686615425</v>
      </c>
      <c r="F7" s="95">
        <f>D7/E7</f>
        <v>0.16532880391606491</v>
      </c>
      <c r="G7" s="62">
        <v>0</v>
      </c>
      <c r="H7" s="95">
        <f>F7+G7/(ИНП!$D$3/$C$6*'Дотация '!E7*'Дотация '!C7)</f>
        <v>0.16532880391606491</v>
      </c>
      <c r="I7" s="95">
        <f>ИНП!$D$3/$C$6*('Дотация '!$I$3-'Дотация '!$H7)*'Дотация '!$E7*'Дотация '!$C7</f>
        <v>13301.640147060516</v>
      </c>
      <c r="J7" s="95"/>
      <c r="K7" s="95"/>
    </row>
    <row r="8" spans="1:11" ht="12.75">
      <c r="A8" s="49">
        <v>2</v>
      </c>
      <c r="B8" s="61" t="s">
        <v>127</v>
      </c>
      <c r="C8" s="88">
        <f>ИБР!C11</f>
        <v>405</v>
      </c>
      <c r="D8" s="95">
        <f>ИНП!AG16</f>
        <v>0.4278316431392576</v>
      </c>
      <c r="E8" s="95">
        <f>ИБР!S11</f>
        <v>0.6505110540962353</v>
      </c>
      <c r="F8" s="95">
        <f aca="true" t="shared" si="0" ref="F8:F10">D8/E8</f>
        <v>0.6576854312393667</v>
      </c>
      <c r="G8" s="62"/>
      <c r="H8" s="95">
        <f>F8+G8/(ИНП!$D$3/$C$6*'Дотация '!E8*'Дотация '!C8)</f>
        <v>0.6576854312393667</v>
      </c>
      <c r="I8" s="95">
        <f>ИНП!$D$3/$C$6*('Дотация '!$I$3-'Дотация '!$H8)*'Дотация '!$E8*'Дотация '!$C8</f>
        <v>2062.9037960809146</v>
      </c>
      <c r="J8" s="95"/>
      <c r="K8" s="95"/>
    </row>
    <row r="9" spans="1:11" ht="12.75">
      <c r="A9" s="49">
        <v>3</v>
      </c>
      <c r="B9" s="61" t="s">
        <v>128</v>
      </c>
      <c r="C9" s="88">
        <f>ИБР!C12</f>
        <v>332</v>
      </c>
      <c r="D9" s="95">
        <f>ИНП!AG17</f>
        <v>0.0008793387793538165</v>
      </c>
      <c r="E9" s="95">
        <f>ИБР!S12</f>
        <v>0.3702180768785151</v>
      </c>
      <c r="F9" s="95">
        <f t="shared" si="0"/>
        <v>0.002375191364959649</v>
      </c>
      <c r="G9" s="62"/>
      <c r="H9" s="95">
        <f>F9+G9/(ИНП!$D$3/$C$6*'Дотация '!E9*'Дотация '!C9)</f>
        <v>0.002375191364959649</v>
      </c>
      <c r="I9" s="95">
        <f>ИНП!$D$3/$C$6*('Дотация '!$I$3-'Дотация '!$H9)*'Дотация '!$E9*'Дотация '!$C9</f>
        <v>2795.599421409613</v>
      </c>
      <c r="J9" s="95"/>
      <c r="K9" s="95"/>
    </row>
    <row r="10" spans="1:11" ht="12.75">
      <c r="A10" s="49">
        <v>4</v>
      </c>
      <c r="B10" s="61" t="s">
        <v>129</v>
      </c>
      <c r="C10" s="88">
        <f>ИБР!C13</f>
        <v>391</v>
      </c>
      <c r="D10" s="95">
        <f>ИНП!AG18</f>
        <v>1.7127282125659966</v>
      </c>
      <c r="E10" s="95">
        <f>ИБР!S13</f>
        <v>0.8531799243400415</v>
      </c>
      <c r="F10" s="95">
        <f t="shared" si="0"/>
        <v>2.007464268326332</v>
      </c>
      <c r="G10" s="62"/>
      <c r="H10" s="95">
        <f>F10+G10/(ИНП!$D$3/$C$6*'Дотация '!E10*'Дотация '!C10)</f>
        <v>2.007464268326332</v>
      </c>
      <c r="I10" s="95"/>
      <c r="J10" s="95"/>
      <c r="K10" s="95"/>
    </row>
    <row r="12" spans="3:12" ht="12.75">
      <c r="C12" s="91">
        <v>3214</v>
      </c>
      <c r="D12" s="66"/>
      <c r="E12" s="96"/>
      <c r="F12" s="97">
        <f>ИНП!AI15/ИБР!S10</f>
        <v>0.16547306406557016</v>
      </c>
      <c r="G12" s="98"/>
      <c r="H12" s="98"/>
      <c r="I12" s="61" t="s">
        <v>126</v>
      </c>
      <c r="J12" s="101"/>
      <c r="K12" s="101"/>
      <c r="L12" s="101"/>
    </row>
    <row r="13" spans="4:12" ht="12.75">
      <c r="D13" s="66"/>
      <c r="E13" s="96"/>
      <c r="F13" s="97">
        <f>ИНП!AI16/ИБР!S11</f>
        <v>0.6576186770209774</v>
      </c>
      <c r="G13" s="98"/>
      <c r="H13" s="98"/>
      <c r="I13" s="61" t="s">
        <v>127</v>
      </c>
      <c r="J13" s="102"/>
      <c r="K13" s="102"/>
      <c r="L13" s="102"/>
    </row>
    <row r="14" spans="4:12" ht="12.75">
      <c r="D14" s="66"/>
      <c r="E14" s="96"/>
      <c r="F14" s="97">
        <f>ИНП!AI17/ИБР!S12</f>
        <v>0.002359137509201575</v>
      </c>
      <c r="G14" s="98"/>
      <c r="H14" s="98"/>
      <c r="I14" s="61" t="s">
        <v>128</v>
      </c>
      <c r="J14" s="102"/>
      <c r="K14" s="102"/>
      <c r="L14" s="102"/>
    </row>
    <row r="15" spans="4:12" ht="12.75">
      <c r="D15" s="66"/>
      <c r="E15" s="96"/>
      <c r="F15" s="97">
        <f>ИНП!AH18/ИБР!S13</f>
        <v>2.0084628573571077</v>
      </c>
      <c r="G15" s="98"/>
      <c r="H15" s="98"/>
      <c r="I15" s="61" t="s">
        <v>133</v>
      </c>
      <c r="J15" s="102">
        <f>SUM(J12:J14)</f>
        <v>0</v>
      </c>
      <c r="K15" s="102">
        <f aca="true" t="shared" si="1" ref="K15:L15">SUM(K12:K14)</f>
        <v>0</v>
      </c>
      <c r="L15" s="102">
        <f t="shared" si="1"/>
        <v>0</v>
      </c>
    </row>
    <row r="16" spans="5:11" ht="12.75">
      <c r="E16" s="98"/>
      <c r="F16" s="98"/>
      <c r="G16" s="98"/>
      <c r="H16" s="99"/>
      <c r="I16" s="98"/>
      <c r="J16" s="98"/>
      <c r="K16" s="98"/>
    </row>
    <row r="17" spans="5:11" ht="12.75">
      <c r="E17" s="98"/>
      <c r="F17" s="98"/>
      <c r="G17" s="98"/>
      <c r="H17" s="99"/>
      <c r="I17" s="98"/>
      <c r="J17" s="98">
        <f>J6*1000-J11</f>
        <v>0</v>
      </c>
      <c r="K17" s="98">
        <f>K6*1000-K11</f>
        <v>0</v>
      </c>
    </row>
    <row r="18" spans="5:11" ht="12.75">
      <c r="E18" s="98"/>
      <c r="F18" s="98"/>
      <c r="G18" s="98"/>
      <c r="H18" s="99"/>
      <c r="I18" s="98"/>
      <c r="J18" s="98"/>
      <c r="K18" s="98"/>
    </row>
    <row r="21" spans="9:11" ht="12.75">
      <c r="I21" s="91">
        <f>I7/I6%</f>
        <v>73.24633886440334</v>
      </c>
      <c r="J21" s="91">
        <f>J6*I21%</f>
        <v>0</v>
      </c>
      <c r="K21" s="91">
        <f>K6*I21%</f>
        <v>0</v>
      </c>
    </row>
    <row r="22" spans="9:11" ht="12.75">
      <c r="I22" s="91">
        <f>I8/I6%</f>
        <v>11.3595127233838</v>
      </c>
      <c r="J22" s="91">
        <f>J6*I22%</f>
        <v>0</v>
      </c>
      <c r="K22" s="91">
        <f>K6*I22%</f>
        <v>0</v>
      </c>
    </row>
    <row r="23" spans="9:11" ht="12.75">
      <c r="I23" s="91">
        <f>I9/I6%</f>
        <v>15.394148412212857</v>
      </c>
      <c r="J23" s="91">
        <f>J6*I23%</f>
        <v>0</v>
      </c>
      <c r="K23" s="91">
        <f>K6*I23%</f>
        <v>0</v>
      </c>
    </row>
  </sheetData>
  <mergeCells count="13">
    <mergeCell ref="I4:I5"/>
    <mergeCell ref="J4:J5"/>
    <mergeCell ref="K4:K5"/>
    <mergeCell ref="A2:I2"/>
    <mergeCell ref="A3:E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8"/>
  <sheetViews>
    <sheetView zoomScale="85" zoomScaleNormal="85" workbookViewId="0" topLeftCell="A1">
      <pane xSplit="2" ySplit="10" topLeftCell="C11" activePane="bottomRight" state="frozen"/>
      <selection pane="topLeft"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ColWidth="9.140625" defaultRowHeight="12.75"/>
  <cols>
    <col min="1" max="1" width="6.00390625" style="8" bestFit="1" customWidth="1"/>
    <col min="2" max="2" width="39.140625" style="8" customWidth="1"/>
    <col min="3" max="3" width="15.7109375" style="1" customWidth="1"/>
    <col min="4" max="7" width="13.7109375" style="1" customWidth="1"/>
    <col min="8" max="8" width="17.421875" style="9" customWidth="1"/>
    <col min="9" max="9" width="17.28125" style="1" bestFit="1" customWidth="1"/>
    <col min="10" max="13" width="12.140625" style="31" customWidth="1"/>
    <col min="14" max="16384" width="9.140625" style="1" customWidth="1"/>
  </cols>
  <sheetData>
    <row r="1" spans="1:8" ht="25.5">
      <c r="A1" s="229" t="s">
        <v>9</v>
      </c>
      <c r="B1" s="229"/>
      <c r="C1" s="229"/>
      <c r="D1" s="229"/>
      <c r="E1" s="229"/>
      <c r="F1" s="229"/>
      <c r="G1" s="229"/>
      <c r="H1" s="229"/>
    </row>
    <row r="2" spans="1:8" ht="30.75">
      <c r="A2" s="229" t="s">
        <v>44</v>
      </c>
      <c r="B2" s="229"/>
      <c r="C2" s="229"/>
      <c r="D2" s="229"/>
      <c r="E2" s="229"/>
      <c r="F2" s="229"/>
      <c r="G2" s="229"/>
      <c r="H2" s="229"/>
    </row>
    <row r="3" spans="1:8" ht="20.25">
      <c r="A3" s="230" t="s">
        <v>4</v>
      </c>
      <c r="B3" s="230"/>
      <c r="C3" s="230"/>
      <c r="D3" s="230"/>
      <c r="E3" s="230"/>
      <c r="F3" s="230"/>
      <c r="G3" s="230"/>
      <c r="H3" s="230"/>
    </row>
    <row r="4" spans="1:8" ht="12.75">
      <c r="A4" s="13"/>
      <c r="B4" s="13"/>
      <c r="C4" s="13"/>
      <c r="D4" s="13"/>
      <c r="E4" s="13"/>
      <c r="F4" s="13"/>
      <c r="G4" s="13"/>
      <c r="H4" s="13"/>
    </row>
    <row r="5" spans="2:13" s="11" customFormat="1" ht="41.25" customHeight="1" thickBot="1">
      <c r="B5" s="19"/>
      <c r="C5" s="228" t="s">
        <v>43</v>
      </c>
      <c r="D5" s="228"/>
      <c r="E5" s="228"/>
      <c r="F5" s="228"/>
      <c r="G5" s="228"/>
      <c r="H5" s="228"/>
      <c r="J5" s="32"/>
      <c r="K5" s="32"/>
      <c r="L5" s="32"/>
      <c r="M5" s="32"/>
    </row>
    <row r="6" spans="1:13" s="11" customFormat="1" ht="27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>
      <c r="A7" s="10"/>
      <c r="B7" s="10"/>
      <c r="C7" s="10"/>
      <c r="D7" s="16">
        <v>0.3</v>
      </c>
      <c r="E7" s="16">
        <v>0.5</v>
      </c>
      <c r="F7" s="16">
        <v>0.1</v>
      </c>
      <c r="G7" s="17">
        <f>1-D7-E7-F7</f>
        <v>0.09999999999999995</v>
      </c>
      <c r="H7" s="10"/>
      <c r="I7" s="10"/>
      <c r="J7" s="33"/>
      <c r="K7" s="33"/>
      <c r="L7" s="33"/>
      <c r="M7" s="33"/>
    </row>
    <row r="8" spans="1:13" s="11" customFormat="1" ht="12.7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>
      <c r="A9" s="2" t="s">
        <v>0</v>
      </c>
      <c r="B9" s="2" t="s">
        <v>5</v>
      </c>
      <c r="C9" s="3" t="s">
        <v>3</v>
      </c>
      <c r="D9" s="4" t="s">
        <v>39</v>
      </c>
      <c r="E9" s="4" t="s">
        <v>74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ht="12.75">
      <c r="A10" s="20">
        <f>COUNT(C11:C27)</f>
        <v>17</v>
      </c>
      <c r="B10" s="21" t="s">
        <v>1</v>
      </c>
      <c r="C10" s="22">
        <f>SUM(C11:C27)</f>
        <v>48186</v>
      </c>
      <c r="D10" s="23">
        <f>MAX(D11:D27)</f>
        <v>44182</v>
      </c>
      <c r="E10" s="23">
        <f>MAX(E11:E27)</f>
        <v>44408</v>
      </c>
      <c r="F10" s="23">
        <f>MAX(F11:F27)</f>
        <v>15052</v>
      </c>
      <c r="G10" s="23">
        <f>MAX(G11:G27)</f>
        <v>2690</v>
      </c>
      <c r="H10" s="24"/>
      <c r="J10" s="35">
        <f>SUM(J11:J27)</f>
        <v>130885.46714981167</v>
      </c>
      <c r="K10" s="38">
        <f>J10/C10</f>
        <v>2.716255077196938</v>
      </c>
      <c r="L10" s="39">
        <v>0.7538038461312319</v>
      </c>
      <c r="M10" s="35">
        <f>SUM(M11:M27)</f>
        <v>89999.99999999997</v>
      </c>
    </row>
    <row r="11" spans="1:13" s="7" customFormat="1" ht="12.75">
      <c r="A11" s="25">
        <v>1</v>
      </c>
      <c r="B11" s="26" t="s">
        <v>57</v>
      </c>
      <c r="C11" s="27">
        <v>1727</v>
      </c>
      <c r="D11" s="28">
        <v>8461</v>
      </c>
      <c r="E11" s="28">
        <v>6649</v>
      </c>
      <c r="F11" s="28">
        <v>75</v>
      </c>
      <c r="G11" s="28">
        <v>179</v>
      </c>
      <c r="H11" s="29">
        <f>IF(C11=0,0,(D11*$D$7+E11*$E$7+F11*$F$7+G11*$G$7)/C11)</f>
        <v>3.409496236247828</v>
      </c>
      <c r="J11" s="36">
        <v>888</v>
      </c>
      <c r="K11" s="37">
        <f>J11/C11</f>
        <v>0.5141864504921829</v>
      </c>
      <c r="L11" s="37">
        <f>K11/H11</f>
        <v>0.15081009476580282</v>
      </c>
      <c r="M11" s="36">
        <f>IF($K$10*($L$10-L11)*H11*C11&lt;0,0,$K$10*($L$10-L11)*H11*C11)</f>
        <v>9644.19350702357</v>
      </c>
    </row>
    <row r="12" spans="1:13" s="7" customFormat="1" ht="12.75">
      <c r="A12" s="25">
        <v>2</v>
      </c>
      <c r="B12" s="26" t="s">
        <v>58</v>
      </c>
      <c r="C12" s="27">
        <v>320</v>
      </c>
      <c r="D12" s="28">
        <v>4146</v>
      </c>
      <c r="E12" s="28">
        <v>0</v>
      </c>
      <c r="F12" s="28">
        <v>0</v>
      </c>
      <c r="G12" s="28">
        <v>0</v>
      </c>
      <c r="H12" s="29">
        <f aca="true" t="shared" si="0" ref="H12:H27">IF(C12=0,0,(D12*$D$7+E12*$E$7+F12*$F$7+G12*$G$7)/C12)</f>
        <v>3.886875</v>
      </c>
      <c r="J12" s="36">
        <v>54</v>
      </c>
      <c r="K12" s="37">
        <f aca="true" t="shared" si="1" ref="K12:K27">J12/C12</f>
        <v>0.16875</v>
      </c>
      <c r="L12" s="37">
        <f aca="true" t="shared" si="2" ref="L12:L27">K12/H12</f>
        <v>0.043415340086830685</v>
      </c>
      <c r="M12" s="36">
        <f aca="true" t="shared" si="3" ref="M12:M27">IF($K$10*($L$10-L12)*H12*C12&lt;0,0,$K$10*($L$10-L12)*H12*C12)</f>
        <v>2400.0319853115975</v>
      </c>
    </row>
    <row r="13" spans="1:13" s="7" customFormat="1" ht="12.75">
      <c r="A13" s="25">
        <v>3</v>
      </c>
      <c r="B13" s="26" t="s">
        <v>59</v>
      </c>
      <c r="C13" s="27">
        <v>1930</v>
      </c>
      <c r="D13" s="28">
        <v>8972</v>
      </c>
      <c r="E13" s="28">
        <v>6044</v>
      </c>
      <c r="F13" s="28">
        <v>1221</v>
      </c>
      <c r="G13" s="28">
        <v>32</v>
      </c>
      <c r="H13" s="29">
        <f t="shared" si="0"/>
        <v>3.025336787564767</v>
      </c>
      <c r="J13" s="36">
        <v>4606.106000000001</v>
      </c>
      <c r="K13" s="37">
        <f t="shared" si="1"/>
        <v>2.3865834196891194</v>
      </c>
      <c r="L13" s="37">
        <f t="shared" si="2"/>
        <v>0.7888653684769392</v>
      </c>
      <c r="M13" s="36">
        <f t="shared" si="3"/>
        <v>0</v>
      </c>
    </row>
    <row r="14" spans="1:13" s="7" customFormat="1" ht="12.75">
      <c r="A14" s="25">
        <v>4</v>
      </c>
      <c r="B14" s="26" t="s">
        <v>60</v>
      </c>
      <c r="C14" s="27">
        <v>250</v>
      </c>
      <c r="D14" s="28">
        <v>3791</v>
      </c>
      <c r="E14" s="28">
        <v>2481</v>
      </c>
      <c r="F14" s="28">
        <v>0</v>
      </c>
      <c r="G14" s="28">
        <v>1</v>
      </c>
      <c r="H14" s="29">
        <f t="shared" si="0"/>
        <v>9.5116</v>
      </c>
      <c r="J14" s="36">
        <v>91</v>
      </c>
      <c r="K14" s="37">
        <f t="shared" si="1"/>
        <v>0.364</v>
      </c>
      <c r="L14" s="37">
        <f t="shared" si="2"/>
        <v>0.038269060936120106</v>
      </c>
      <c r="M14" s="36">
        <f t="shared" si="3"/>
        <v>4621.626976323723</v>
      </c>
    </row>
    <row r="15" spans="1:13" s="7" customFormat="1" ht="12.75">
      <c r="A15" s="25">
        <v>5</v>
      </c>
      <c r="B15" s="26" t="s">
        <v>61</v>
      </c>
      <c r="C15" s="27">
        <v>23412</v>
      </c>
      <c r="D15" s="28">
        <v>44182</v>
      </c>
      <c r="E15" s="28">
        <v>27624</v>
      </c>
      <c r="F15" s="28">
        <v>14345</v>
      </c>
      <c r="G15" s="28">
        <v>150</v>
      </c>
      <c r="H15" s="29">
        <f t="shared" si="0"/>
        <v>1.2180121305313514</v>
      </c>
      <c r="J15" s="36">
        <v>79553.136</v>
      </c>
      <c r="K15" s="37">
        <f t="shared" si="1"/>
        <v>3.3979641209636084</v>
      </c>
      <c r="L15" s="37">
        <f t="shared" si="2"/>
        <v>2.789762134373214</v>
      </c>
      <c r="M15" s="36">
        <f t="shared" si="3"/>
        <v>0</v>
      </c>
    </row>
    <row r="16" spans="1:13" s="7" customFormat="1" ht="12.75">
      <c r="A16" s="25">
        <v>6</v>
      </c>
      <c r="B16" s="26" t="s">
        <v>62</v>
      </c>
      <c r="C16" s="27">
        <v>292</v>
      </c>
      <c r="D16" s="28">
        <v>3860</v>
      </c>
      <c r="E16" s="28">
        <v>2445</v>
      </c>
      <c r="F16" s="28">
        <v>0</v>
      </c>
      <c r="G16" s="28">
        <v>31</v>
      </c>
      <c r="H16" s="29">
        <f t="shared" si="0"/>
        <v>8.163013698630136</v>
      </c>
      <c r="J16" s="36">
        <v>92</v>
      </c>
      <c r="K16" s="37">
        <f t="shared" si="1"/>
        <v>0.3150684931506849</v>
      </c>
      <c r="L16" s="37">
        <f t="shared" si="2"/>
        <v>0.03859708004698775</v>
      </c>
      <c r="M16" s="36">
        <f t="shared" si="3"/>
        <v>4630.5816053348335</v>
      </c>
    </row>
    <row r="17" spans="1:13" s="7" customFormat="1" ht="12.75">
      <c r="A17" s="25">
        <v>7</v>
      </c>
      <c r="B17" s="26" t="s">
        <v>63</v>
      </c>
      <c r="C17" s="27">
        <v>789</v>
      </c>
      <c r="D17" s="28">
        <v>5622</v>
      </c>
      <c r="E17" s="28">
        <v>4651</v>
      </c>
      <c r="F17" s="28">
        <v>29</v>
      </c>
      <c r="G17" s="28">
        <v>6</v>
      </c>
      <c r="H17" s="29">
        <f t="shared" si="0"/>
        <v>5.089480354879594</v>
      </c>
      <c r="J17" s="36">
        <v>1448.948888194074</v>
      </c>
      <c r="K17" s="37">
        <f t="shared" si="1"/>
        <v>1.8364371206515513</v>
      </c>
      <c r="L17" s="37">
        <f t="shared" si="2"/>
        <v>0.36082998510660275</v>
      </c>
      <c r="M17" s="36">
        <f t="shared" si="3"/>
        <v>4286.3206898806675</v>
      </c>
    </row>
    <row r="18" spans="1:13" s="7" customFormat="1" ht="12.75">
      <c r="A18" s="25">
        <v>8</v>
      </c>
      <c r="B18" s="26" t="s">
        <v>64</v>
      </c>
      <c r="C18" s="27">
        <v>9392</v>
      </c>
      <c r="D18" s="28">
        <v>28630</v>
      </c>
      <c r="E18" s="28">
        <v>44408</v>
      </c>
      <c r="F18" s="28">
        <v>15052</v>
      </c>
      <c r="G18" s="28">
        <v>2690</v>
      </c>
      <c r="H18" s="29">
        <f t="shared" si="0"/>
        <v>3.4675468483816014</v>
      </c>
      <c r="J18" s="36">
        <v>32584.81896862035</v>
      </c>
      <c r="K18" s="37">
        <f t="shared" si="1"/>
        <v>3.4694228033028485</v>
      </c>
      <c r="L18" s="37">
        <f t="shared" si="2"/>
        <v>1.0005410034826558</v>
      </c>
      <c r="M18" s="36">
        <f t="shared" si="3"/>
        <v>0</v>
      </c>
    </row>
    <row r="19" spans="1:13" s="7" customFormat="1" ht="12.75">
      <c r="A19" s="25">
        <v>9</v>
      </c>
      <c r="B19" s="26" t="s">
        <v>65</v>
      </c>
      <c r="C19" s="27">
        <v>695</v>
      </c>
      <c r="D19" s="28">
        <v>5384</v>
      </c>
      <c r="E19" s="28">
        <v>6795</v>
      </c>
      <c r="F19" s="28">
        <v>0</v>
      </c>
      <c r="G19" s="28">
        <v>35</v>
      </c>
      <c r="H19" s="29">
        <f t="shared" si="0"/>
        <v>7.217553956834532</v>
      </c>
      <c r="J19" s="36">
        <v>427</v>
      </c>
      <c r="K19" s="37">
        <f t="shared" si="1"/>
        <v>0.6143884892086331</v>
      </c>
      <c r="L19" s="37">
        <f t="shared" si="2"/>
        <v>0.08512419759977673</v>
      </c>
      <c r="M19" s="36">
        <f t="shared" si="3"/>
        <v>9110.946584452682</v>
      </c>
    </row>
    <row r="20" spans="1:13" s="7" customFormat="1" ht="12.75">
      <c r="A20" s="25">
        <v>10</v>
      </c>
      <c r="B20" s="26" t="s">
        <v>66</v>
      </c>
      <c r="C20" s="27">
        <v>939</v>
      </c>
      <c r="D20" s="28">
        <v>6961</v>
      </c>
      <c r="E20" s="28">
        <v>8937</v>
      </c>
      <c r="F20" s="28">
        <v>3</v>
      </c>
      <c r="G20" s="28">
        <v>279</v>
      </c>
      <c r="H20" s="29">
        <f t="shared" si="0"/>
        <v>7.012779552715654</v>
      </c>
      <c r="I20" s="30"/>
      <c r="J20" s="36">
        <v>443.42857142857144</v>
      </c>
      <c r="K20" s="37">
        <f t="shared" si="1"/>
        <v>0.47223490034991633</v>
      </c>
      <c r="L20" s="37">
        <f t="shared" si="2"/>
        <v>0.06733919080160539</v>
      </c>
      <c r="M20" s="36">
        <f t="shared" si="3"/>
        <v>12278.47729876494</v>
      </c>
    </row>
    <row r="21" spans="1:13" s="7" customFormat="1" ht="12.75">
      <c r="A21" s="25">
        <v>11</v>
      </c>
      <c r="B21" s="26" t="s">
        <v>67</v>
      </c>
      <c r="C21" s="27">
        <v>1073</v>
      </c>
      <c r="D21" s="28">
        <v>7369</v>
      </c>
      <c r="E21" s="28">
        <v>3973</v>
      </c>
      <c r="F21" s="28">
        <v>112</v>
      </c>
      <c r="G21" s="28">
        <v>39</v>
      </c>
      <c r="H21" s="29">
        <f t="shared" si="0"/>
        <v>3.9257222739981352</v>
      </c>
      <c r="I21" s="30"/>
      <c r="J21" s="36">
        <v>2237</v>
      </c>
      <c r="K21" s="37">
        <f t="shared" si="1"/>
        <v>2.0848089468779123</v>
      </c>
      <c r="L21" s="37">
        <f t="shared" si="2"/>
        <v>0.5310637893787243</v>
      </c>
      <c r="M21" s="36">
        <f t="shared" si="3"/>
        <v>2548.520733569961</v>
      </c>
    </row>
    <row r="22" spans="1:13" s="7" customFormat="1" ht="12.75">
      <c r="A22" s="25">
        <v>12</v>
      </c>
      <c r="B22" s="26" t="s">
        <v>68</v>
      </c>
      <c r="C22" s="27">
        <v>3096</v>
      </c>
      <c r="D22" s="28">
        <v>12738</v>
      </c>
      <c r="E22" s="28">
        <v>15606</v>
      </c>
      <c r="F22" s="28">
        <v>1678</v>
      </c>
      <c r="G22" s="28">
        <v>1892</v>
      </c>
      <c r="H22" s="29">
        <f t="shared" si="0"/>
        <v>3.8699612403100776</v>
      </c>
      <c r="I22" s="30"/>
      <c r="J22" s="36">
        <v>4045.824175808007</v>
      </c>
      <c r="K22" s="37">
        <f t="shared" si="1"/>
        <v>1.3067907544599506</v>
      </c>
      <c r="L22" s="37">
        <f t="shared" si="2"/>
        <v>0.337675411538552</v>
      </c>
      <c r="M22" s="36">
        <f t="shared" si="3"/>
        <v>13542.707894638519</v>
      </c>
    </row>
    <row r="23" spans="1:13" s="7" customFormat="1" ht="12.75">
      <c r="A23" s="25">
        <v>13</v>
      </c>
      <c r="B23" s="26" t="s">
        <v>69</v>
      </c>
      <c r="C23" s="27">
        <v>644</v>
      </c>
      <c r="D23" s="28">
        <v>5411</v>
      </c>
      <c r="E23" s="28">
        <v>0</v>
      </c>
      <c r="F23" s="28">
        <v>0</v>
      </c>
      <c r="G23" s="28">
        <v>0</v>
      </c>
      <c r="H23" s="29">
        <f t="shared" si="0"/>
        <v>2.520652173913043</v>
      </c>
      <c r="I23" s="30"/>
      <c r="J23" s="36">
        <v>573.5483870967741</v>
      </c>
      <c r="K23" s="37">
        <f t="shared" si="1"/>
        <v>0.8906030855539971</v>
      </c>
      <c r="L23" s="37">
        <f t="shared" si="2"/>
        <v>0.3533224832728234</v>
      </c>
      <c r="M23" s="36">
        <f t="shared" si="3"/>
        <v>1765.8412184688966</v>
      </c>
    </row>
    <row r="24" spans="1:13" s="7" customFormat="1" ht="12.75">
      <c r="A24" s="25">
        <v>14</v>
      </c>
      <c r="B24" s="26" t="s">
        <v>70</v>
      </c>
      <c r="C24" s="27">
        <v>483</v>
      </c>
      <c r="D24" s="28">
        <v>9288</v>
      </c>
      <c r="E24" s="28">
        <v>3901</v>
      </c>
      <c r="F24" s="28">
        <v>0</v>
      </c>
      <c r="G24" s="28">
        <v>0</v>
      </c>
      <c r="H24" s="29">
        <f t="shared" si="0"/>
        <v>9.807246376811593</v>
      </c>
      <c r="I24" s="30"/>
      <c r="J24" s="36">
        <v>551.466</v>
      </c>
      <c r="K24" s="37">
        <f t="shared" si="1"/>
        <v>1.141751552795031</v>
      </c>
      <c r="L24" s="37">
        <f t="shared" si="2"/>
        <v>0.11641917709894659</v>
      </c>
      <c r="M24" s="36">
        <f t="shared" si="3"/>
        <v>8200.991859687203</v>
      </c>
    </row>
    <row r="25" spans="1:13" s="7" customFormat="1" ht="12.75">
      <c r="A25" s="25">
        <v>15</v>
      </c>
      <c r="B25" s="26" t="s">
        <v>71</v>
      </c>
      <c r="C25" s="27">
        <v>1255</v>
      </c>
      <c r="D25" s="28">
        <v>6892</v>
      </c>
      <c r="E25" s="28">
        <v>4361</v>
      </c>
      <c r="F25" s="28">
        <v>1855</v>
      </c>
      <c r="G25" s="28">
        <v>189</v>
      </c>
      <c r="H25" s="29">
        <f t="shared" si="0"/>
        <v>3.547808764940239</v>
      </c>
      <c r="I25" s="30"/>
      <c r="J25" s="36">
        <v>1462.2340000000002</v>
      </c>
      <c r="K25" s="37">
        <f t="shared" si="1"/>
        <v>1.1651266932270918</v>
      </c>
      <c r="L25" s="37">
        <f t="shared" si="2"/>
        <v>0.3284074115665357</v>
      </c>
      <c r="M25" s="36">
        <f t="shared" si="3"/>
        <v>5144.797965237868</v>
      </c>
    </row>
    <row r="26" spans="1:13" s="7" customFormat="1" ht="12.75">
      <c r="A26" s="25">
        <v>16</v>
      </c>
      <c r="B26" s="26" t="s">
        <v>72</v>
      </c>
      <c r="C26" s="27">
        <v>925</v>
      </c>
      <c r="D26" s="28">
        <v>6586</v>
      </c>
      <c r="E26" s="28">
        <v>0</v>
      </c>
      <c r="F26" s="28">
        <v>1060</v>
      </c>
      <c r="G26" s="28">
        <v>303</v>
      </c>
      <c r="H26" s="29">
        <f t="shared" si="0"/>
        <v>2.2833513513513517</v>
      </c>
      <c r="I26" s="30"/>
      <c r="J26" s="36">
        <v>936</v>
      </c>
      <c r="K26" s="37">
        <f t="shared" si="1"/>
        <v>1.011891891891892</v>
      </c>
      <c r="L26" s="37">
        <f t="shared" si="2"/>
        <v>0.4431608351877278</v>
      </c>
      <c r="M26" s="36">
        <f t="shared" si="3"/>
        <v>1782.1596833427973</v>
      </c>
    </row>
    <row r="27" spans="1:13" s="7" customFormat="1" ht="12.75">
      <c r="A27" s="25">
        <v>17</v>
      </c>
      <c r="B27" s="26" t="s">
        <v>73</v>
      </c>
      <c r="C27" s="27">
        <v>964</v>
      </c>
      <c r="D27" s="28">
        <v>8120</v>
      </c>
      <c r="E27" s="28">
        <v>7222</v>
      </c>
      <c r="F27" s="28">
        <v>200</v>
      </c>
      <c r="G27" s="28">
        <v>198</v>
      </c>
      <c r="H27" s="29">
        <f t="shared" si="0"/>
        <v>6.314107883817427</v>
      </c>
      <c r="I27" s="30"/>
      <c r="J27" s="36">
        <v>890.9561586638831</v>
      </c>
      <c r="K27" s="37">
        <f t="shared" si="1"/>
        <v>0.9242283803567253</v>
      </c>
      <c r="L27" s="37">
        <f t="shared" si="2"/>
        <v>0.14637513285533996</v>
      </c>
      <c r="M27" s="36">
        <f t="shared" si="3"/>
        <v>10042.801997962735</v>
      </c>
    </row>
    <row r="28" spans="10:13" ht="12.75">
      <c r="J28" s="1"/>
      <c r="K28" s="1"/>
      <c r="L28" s="1"/>
      <c r="M28" s="1"/>
    </row>
  </sheetData>
  <sheetProtection autoFilter="0"/>
  <mergeCells count="4">
    <mergeCell ref="A1:H1"/>
    <mergeCell ref="A2:H2"/>
    <mergeCell ref="A3:H3"/>
    <mergeCell ref="C5:H5"/>
  </mergeCells>
  <conditionalFormatting sqref="L11:L27">
    <cfRule type="cellIs" priority="1" dxfId="0" operator="lessThan">
      <formula>$L$10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8"/>
  <sheetViews>
    <sheetView zoomScale="85" zoomScaleNormal="85" workbookViewId="0" topLeftCell="A1">
      <pane xSplit="2" ySplit="10" topLeftCell="C26" activePane="bottomRight" state="frozen"/>
      <selection pane="topLeft"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ColWidth="9.140625" defaultRowHeight="12.75"/>
  <cols>
    <col min="1" max="1" width="6.00390625" style="8" bestFit="1" customWidth="1"/>
    <col min="2" max="2" width="32.421875" style="8" bestFit="1" customWidth="1"/>
    <col min="3" max="3" width="15.7109375" style="1" customWidth="1"/>
    <col min="4" max="7" width="13.7109375" style="1" customWidth="1"/>
    <col min="8" max="8" width="17.421875" style="9" customWidth="1"/>
    <col min="9" max="9" width="17.28125" style="1" bestFit="1" customWidth="1"/>
    <col min="10" max="13" width="12.140625" style="31" customWidth="1"/>
    <col min="14" max="16384" width="9.140625" style="1" customWidth="1"/>
  </cols>
  <sheetData>
    <row r="1" spans="1:8" ht="25.5">
      <c r="A1" s="229" t="s">
        <v>9</v>
      </c>
      <c r="B1" s="229"/>
      <c r="C1" s="229"/>
      <c r="D1" s="229"/>
      <c r="E1" s="229"/>
      <c r="F1" s="229"/>
      <c r="G1" s="229"/>
      <c r="H1" s="229"/>
    </row>
    <row r="2" spans="1:8" ht="30.75">
      <c r="A2" s="229" t="s">
        <v>44</v>
      </c>
      <c r="B2" s="229"/>
      <c r="C2" s="229"/>
      <c r="D2" s="229"/>
      <c r="E2" s="229"/>
      <c r="F2" s="229"/>
      <c r="G2" s="229"/>
      <c r="H2" s="229"/>
    </row>
    <row r="3" spans="1:8" ht="20.25">
      <c r="A3" s="230" t="s">
        <v>4</v>
      </c>
      <c r="B3" s="230"/>
      <c r="C3" s="230"/>
      <c r="D3" s="230"/>
      <c r="E3" s="230"/>
      <c r="F3" s="230"/>
      <c r="G3" s="230"/>
      <c r="H3" s="230"/>
    </row>
    <row r="4" spans="1:8" ht="12.75">
      <c r="A4" s="13"/>
      <c r="B4" s="13"/>
      <c r="C4" s="13"/>
      <c r="D4" s="13"/>
      <c r="E4" s="13"/>
      <c r="F4" s="13"/>
      <c r="G4" s="13"/>
      <c r="H4" s="13"/>
    </row>
    <row r="5" spans="2:13" s="11" customFormat="1" ht="41.25" customHeight="1" thickBot="1">
      <c r="B5" s="19"/>
      <c r="C5" s="228" t="s">
        <v>43</v>
      </c>
      <c r="D5" s="228"/>
      <c r="E5" s="228"/>
      <c r="F5" s="228"/>
      <c r="G5" s="228"/>
      <c r="H5" s="228"/>
      <c r="J5" s="32"/>
      <c r="K5" s="32"/>
      <c r="L5" s="32"/>
      <c r="M5" s="32"/>
    </row>
    <row r="6" spans="1:13" s="11" customFormat="1" ht="27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>
      <c r="A7" s="10"/>
      <c r="B7" s="10"/>
      <c r="C7" s="10"/>
      <c r="D7" s="16">
        <v>0.2</v>
      </c>
      <c r="E7" s="16">
        <v>0.5</v>
      </c>
      <c r="F7" s="16">
        <v>0.15</v>
      </c>
      <c r="G7" s="17">
        <f>1-D7-E7-F7</f>
        <v>0.15000000000000005</v>
      </c>
      <c r="H7" s="10"/>
      <c r="I7" s="10"/>
      <c r="J7" s="33"/>
      <c r="K7" s="33"/>
      <c r="L7" s="33"/>
      <c r="M7" s="33"/>
    </row>
    <row r="8" spans="1:13" s="11" customFormat="1" ht="12.7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>
      <c r="A9" s="2" t="s">
        <v>0</v>
      </c>
      <c r="B9" s="2" t="s">
        <v>5</v>
      </c>
      <c r="C9" s="3" t="s">
        <v>3</v>
      </c>
      <c r="D9" s="4" t="s">
        <v>39</v>
      </c>
      <c r="E9" s="4" t="s">
        <v>40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ht="12.75">
      <c r="A10" s="20">
        <f>COUNT(C11:C38)</f>
        <v>28</v>
      </c>
      <c r="B10" s="21" t="s">
        <v>1</v>
      </c>
      <c r="C10" s="22">
        <f>SUM(C11:C38)</f>
        <v>73316</v>
      </c>
      <c r="D10" s="23">
        <f>MAX(D11:D38)</f>
        <v>61289</v>
      </c>
      <c r="E10" s="23">
        <f>MAX(E11:E38)</f>
        <v>23307</v>
      </c>
      <c r="F10" s="23">
        <f>MAX(F11:F38)</f>
        <v>14059</v>
      </c>
      <c r="G10" s="23">
        <f>MAX(G11:G38)</f>
        <v>1210</v>
      </c>
      <c r="H10" s="24"/>
      <c r="J10" s="35">
        <f>SUM(J11:J38)</f>
        <v>169348.82247369227</v>
      </c>
      <c r="K10" s="38">
        <f>J10/C10</f>
        <v>2.309848088734959</v>
      </c>
      <c r="L10" s="39">
        <v>1.5618627671280154</v>
      </c>
      <c r="M10" s="35">
        <f>SUM(M11:M27)</f>
        <v>70000.00000000001</v>
      </c>
    </row>
    <row r="11" spans="1:13" s="7" customFormat="1" ht="12.75">
      <c r="A11" s="25">
        <v>1</v>
      </c>
      <c r="B11" s="26" t="s">
        <v>11</v>
      </c>
      <c r="C11" s="27">
        <v>1180</v>
      </c>
      <c r="D11" s="28">
        <v>6349</v>
      </c>
      <c r="E11" s="28">
        <v>2086</v>
      </c>
      <c r="F11" s="28">
        <v>88</v>
      </c>
      <c r="G11" s="28">
        <v>264</v>
      </c>
      <c r="H11" s="29">
        <f>IF(C11=0,0,(D11*$D$7+E11*$E$7+F11*$F$7+G11*$G$7)/C11)</f>
        <v>2.004745762711864</v>
      </c>
      <c r="J11" s="36">
        <v>5348</v>
      </c>
      <c r="K11" s="37">
        <f>J11/C11</f>
        <v>4.532203389830508</v>
      </c>
      <c r="L11" s="37">
        <f>K11/H11</f>
        <v>2.2607372336827867</v>
      </c>
      <c r="M11" s="36">
        <f>IF($K$10*($L$10-L11)*H11*C11&lt;0,0,$K$10*($L$10-L11)*H11*C11)</f>
        <v>0</v>
      </c>
    </row>
    <row r="12" spans="1:13" s="7" customFormat="1" ht="12.75">
      <c r="A12" s="25">
        <v>2</v>
      </c>
      <c r="B12" s="26" t="s">
        <v>12</v>
      </c>
      <c r="C12" s="27">
        <v>8497</v>
      </c>
      <c r="D12" s="28">
        <v>13825</v>
      </c>
      <c r="E12" s="28">
        <v>3959</v>
      </c>
      <c r="F12" s="28">
        <v>7291</v>
      </c>
      <c r="G12" s="28">
        <v>0</v>
      </c>
      <c r="H12" s="29">
        <f aca="true" t="shared" si="0" ref="H12:H38">IF(C12=0,0,(D12*$D$7+E12*$E$7+F12*$F$7+G12*$G$7)/C12)</f>
        <v>0.6870836765917382</v>
      </c>
      <c r="J12" s="36">
        <v>11547.10437817259</v>
      </c>
      <c r="K12" s="37">
        <f aca="true" t="shared" si="1" ref="K12:K38">J12/C12</f>
        <v>1.358962501844485</v>
      </c>
      <c r="L12" s="37">
        <f aca="true" t="shared" si="2" ref="L12:L38">K12/H12</f>
        <v>1.977870451799387</v>
      </c>
      <c r="M12" s="36">
        <f aca="true" t="shared" si="3" ref="M12:M38">IF($K$10*($L$10-L12)*H12*C12&lt;0,0,$K$10*($L$10-L12)*H12*C12)</f>
        <v>0</v>
      </c>
    </row>
    <row r="13" spans="1:13" s="7" customFormat="1" ht="12.75">
      <c r="A13" s="25">
        <v>3</v>
      </c>
      <c r="B13" s="26" t="s">
        <v>13</v>
      </c>
      <c r="C13" s="27">
        <v>526</v>
      </c>
      <c r="D13" s="28">
        <v>2782</v>
      </c>
      <c r="E13" s="28">
        <v>861</v>
      </c>
      <c r="F13" s="28">
        <v>11</v>
      </c>
      <c r="G13" s="28">
        <v>0</v>
      </c>
      <c r="H13" s="29">
        <f t="shared" si="0"/>
        <v>1.8793726235741444</v>
      </c>
      <c r="J13" s="36">
        <v>575.086</v>
      </c>
      <c r="K13" s="37">
        <f t="shared" si="1"/>
        <v>1.093319391634981</v>
      </c>
      <c r="L13" s="37">
        <f t="shared" si="2"/>
        <v>0.5817470031864853</v>
      </c>
      <c r="M13" s="36">
        <f t="shared" si="3"/>
        <v>2237.996656978639</v>
      </c>
    </row>
    <row r="14" spans="1:13" s="7" customFormat="1" ht="12.75">
      <c r="A14" s="25">
        <v>4</v>
      </c>
      <c r="B14" s="26" t="s">
        <v>14</v>
      </c>
      <c r="C14" s="27">
        <v>832</v>
      </c>
      <c r="D14" s="28">
        <v>3601</v>
      </c>
      <c r="E14" s="28">
        <v>1897</v>
      </c>
      <c r="F14" s="28">
        <v>0</v>
      </c>
      <c r="G14" s="28">
        <v>0</v>
      </c>
      <c r="H14" s="29">
        <f t="shared" si="0"/>
        <v>2.0056490384615384</v>
      </c>
      <c r="J14" s="36">
        <v>926</v>
      </c>
      <c r="K14" s="37">
        <f t="shared" si="1"/>
        <v>1.1129807692307692</v>
      </c>
      <c r="L14" s="37">
        <f t="shared" si="2"/>
        <v>0.5549229939473842</v>
      </c>
      <c r="M14" s="36">
        <f t="shared" si="3"/>
        <v>3881.192469338947</v>
      </c>
    </row>
    <row r="15" spans="1:13" s="7" customFormat="1" ht="12.75">
      <c r="A15" s="25">
        <v>5</v>
      </c>
      <c r="B15" s="26" t="s">
        <v>15</v>
      </c>
      <c r="C15" s="27">
        <v>420</v>
      </c>
      <c r="D15" s="28">
        <v>3671</v>
      </c>
      <c r="E15" s="28">
        <v>1888</v>
      </c>
      <c r="F15" s="28">
        <v>0</v>
      </c>
      <c r="G15" s="28">
        <v>42</v>
      </c>
      <c r="H15" s="29">
        <f t="shared" si="0"/>
        <v>4.010714285714286</v>
      </c>
      <c r="J15" s="36">
        <v>323</v>
      </c>
      <c r="K15" s="37">
        <f t="shared" si="1"/>
        <v>0.7690476190476191</v>
      </c>
      <c r="L15" s="37">
        <f t="shared" si="2"/>
        <v>0.19174829326209558</v>
      </c>
      <c r="M15" s="36">
        <f t="shared" si="3"/>
        <v>5331.0319853408955</v>
      </c>
    </row>
    <row r="16" spans="1:13" s="7" customFormat="1" ht="12.75">
      <c r="A16" s="25">
        <v>6</v>
      </c>
      <c r="B16" s="26" t="s">
        <v>16</v>
      </c>
      <c r="C16" s="27">
        <v>689</v>
      </c>
      <c r="D16" s="28">
        <v>3849</v>
      </c>
      <c r="E16" s="28">
        <v>1711</v>
      </c>
      <c r="F16" s="28">
        <v>100</v>
      </c>
      <c r="G16" s="28">
        <v>19</v>
      </c>
      <c r="H16" s="29">
        <f t="shared" si="0"/>
        <v>2.384833091436865</v>
      </c>
      <c r="J16" s="36">
        <v>652.0613670694863</v>
      </c>
      <c r="K16" s="37">
        <f t="shared" si="1"/>
        <v>0.9463880508991093</v>
      </c>
      <c r="L16" s="37">
        <f t="shared" si="2"/>
        <v>0.39683617872348004</v>
      </c>
      <c r="M16" s="36">
        <f t="shared" si="3"/>
        <v>4421.773237706104</v>
      </c>
    </row>
    <row r="17" spans="1:13" s="7" customFormat="1" ht="12.75">
      <c r="A17" s="25">
        <v>7</v>
      </c>
      <c r="B17" s="26" t="s">
        <v>17</v>
      </c>
      <c r="C17" s="27">
        <v>1066</v>
      </c>
      <c r="D17" s="28">
        <v>4195</v>
      </c>
      <c r="E17" s="28">
        <v>2464</v>
      </c>
      <c r="F17" s="28">
        <v>205</v>
      </c>
      <c r="G17" s="28">
        <v>64</v>
      </c>
      <c r="H17" s="29">
        <f t="shared" si="0"/>
        <v>1.9806285178236398</v>
      </c>
      <c r="J17" s="36">
        <v>954</v>
      </c>
      <c r="K17" s="37">
        <f t="shared" si="1"/>
        <v>0.8949343339587242</v>
      </c>
      <c r="L17" s="37">
        <f t="shared" si="2"/>
        <v>0.45184360717076755</v>
      </c>
      <c r="M17" s="36">
        <f t="shared" si="3"/>
        <v>5413.449957139741</v>
      </c>
    </row>
    <row r="18" spans="1:13" s="7" customFormat="1" ht="12.75">
      <c r="A18" s="25">
        <v>8</v>
      </c>
      <c r="B18" s="26" t="s">
        <v>18</v>
      </c>
      <c r="C18" s="27">
        <v>497</v>
      </c>
      <c r="D18" s="28">
        <v>3640</v>
      </c>
      <c r="E18" s="28">
        <v>1550</v>
      </c>
      <c r="F18" s="28">
        <v>69</v>
      </c>
      <c r="G18" s="28">
        <v>38</v>
      </c>
      <c r="H18" s="29">
        <f t="shared" si="0"/>
        <v>3.056438631790744</v>
      </c>
      <c r="J18" s="36">
        <v>299.02769366983864</v>
      </c>
      <c r="K18" s="37">
        <f t="shared" si="1"/>
        <v>0.6016653796173815</v>
      </c>
      <c r="L18" s="37">
        <f t="shared" si="2"/>
        <v>0.19685177819679317</v>
      </c>
      <c r="M18" s="36">
        <f t="shared" si="3"/>
        <v>4789.516076682508</v>
      </c>
    </row>
    <row r="19" spans="1:13" s="7" customFormat="1" ht="12.75">
      <c r="A19" s="25">
        <v>9</v>
      </c>
      <c r="B19" s="26" t="s">
        <v>19</v>
      </c>
      <c r="C19" s="27">
        <v>3372</v>
      </c>
      <c r="D19" s="28">
        <v>7729</v>
      </c>
      <c r="E19" s="28">
        <v>4359</v>
      </c>
      <c r="F19" s="28">
        <v>575</v>
      </c>
      <c r="G19" s="28">
        <v>0</v>
      </c>
      <c r="H19" s="29">
        <f t="shared" si="0"/>
        <v>1.13035290628707</v>
      </c>
      <c r="J19" s="36">
        <v>3109.3410447761194</v>
      </c>
      <c r="K19" s="37">
        <f t="shared" si="1"/>
        <v>0.9221058851649228</v>
      </c>
      <c r="L19" s="37">
        <f t="shared" si="2"/>
        <v>0.8157681375755583</v>
      </c>
      <c r="M19" s="36">
        <f t="shared" si="3"/>
        <v>6568.692834215916</v>
      </c>
    </row>
    <row r="20" spans="1:13" s="7" customFormat="1" ht="12.75">
      <c r="A20" s="25">
        <v>10</v>
      </c>
      <c r="B20" s="26" t="s">
        <v>20</v>
      </c>
      <c r="C20" s="27">
        <v>1063</v>
      </c>
      <c r="D20" s="28">
        <v>5002</v>
      </c>
      <c r="E20" s="28">
        <v>2087</v>
      </c>
      <c r="F20" s="28">
        <v>84</v>
      </c>
      <c r="G20" s="28">
        <v>109</v>
      </c>
      <c r="H20" s="29">
        <f t="shared" si="0"/>
        <v>1.95</v>
      </c>
      <c r="I20" s="30"/>
      <c r="J20" s="36">
        <v>444.07</v>
      </c>
      <c r="K20" s="37">
        <f t="shared" si="1"/>
        <v>0.4177516462841016</v>
      </c>
      <c r="L20" s="37">
        <f t="shared" si="2"/>
        <v>0.21423161347902647</v>
      </c>
      <c r="M20" s="36">
        <f t="shared" si="3"/>
        <v>6452.415662518957</v>
      </c>
    </row>
    <row r="21" spans="1:13" s="7" customFormat="1" ht="12.75">
      <c r="A21" s="25">
        <v>11</v>
      </c>
      <c r="B21" s="26" t="s">
        <v>21</v>
      </c>
      <c r="C21" s="27">
        <v>416</v>
      </c>
      <c r="D21" s="28">
        <v>2462</v>
      </c>
      <c r="E21" s="28">
        <v>2603</v>
      </c>
      <c r="F21" s="28">
        <v>55</v>
      </c>
      <c r="G21" s="28">
        <v>0</v>
      </c>
      <c r="H21" s="29">
        <f t="shared" si="0"/>
        <v>4.332091346153846</v>
      </c>
      <c r="I21" s="30"/>
      <c r="J21" s="36">
        <v>202</v>
      </c>
      <c r="K21" s="37">
        <f t="shared" si="1"/>
        <v>0.4855769230769231</v>
      </c>
      <c r="L21" s="37">
        <f t="shared" si="2"/>
        <v>0.11208833892850206</v>
      </c>
      <c r="M21" s="36">
        <f t="shared" si="3"/>
        <v>6034.965476920193</v>
      </c>
    </row>
    <row r="22" spans="1:13" s="7" customFormat="1" ht="12.75">
      <c r="A22" s="25">
        <v>12</v>
      </c>
      <c r="B22" s="26" t="s">
        <v>22</v>
      </c>
      <c r="C22" s="27">
        <v>1001</v>
      </c>
      <c r="D22" s="28">
        <v>4618</v>
      </c>
      <c r="E22" s="28">
        <v>2364</v>
      </c>
      <c r="F22" s="28">
        <v>0</v>
      </c>
      <c r="G22" s="28">
        <v>380</v>
      </c>
      <c r="H22" s="29">
        <f t="shared" si="0"/>
        <v>2.1604395604395603</v>
      </c>
      <c r="I22" s="30"/>
      <c r="J22" s="36">
        <v>534.9027878787879</v>
      </c>
      <c r="K22" s="37">
        <f t="shared" si="1"/>
        <v>0.5343684194593286</v>
      </c>
      <c r="L22" s="37">
        <f t="shared" si="2"/>
        <v>0.24734245254729859</v>
      </c>
      <c r="M22" s="36">
        <f t="shared" si="3"/>
        <v>6566.393720087317</v>
      </c>
    </row>
    <row r="23" spans="1:13" s="7" customFormat="1" ht="12.75">
      <c r="A23" s="25">
        <v>13</v>
      </c>
      <c r="B23" s="26" t="s">
        <v>23</v>
      </c>
      <c r="C23" s="27">
        <v>4395</v>
      </c>
      <c r="D23" s="28">
        <v>8336</v>
      </c>
      <c r="E23" s="28">
        <v>4984</v>
      </c>
      <c r="F23" s="28">
        <v>1342</v>
      </c>
      <c r="G23" s="28">
        <v>0</v>
      </c>
      <c r="H23" s="29">
        <f t="shared" si="0"/>
        <v>0.9921501706484641</v>
      </c>
      <c r="I23" s="30"/>
      <c r="J23" s="36">
        <v>11075.307008884502</v>
      </c>
      <c r="K23" s="37">
        <f t="shared" si="1"/>
        <v>2.519978841611946</v>
      </c>
      <c r="L23" s="37">
        <f t="shared" si="2"/>
        <v>2.539916754703475</v>
      </c>
      <c r="M23" s="36">
        <f t="shared" si="3"/>
        <v>0</v>
      </c>
    </row>
    <row r="24" spans="1:13" s="7" customFormat="1" ht="12.75">
      <c r="A24" s="25">
        <v>14</v>
      </c>
      <c r="B24" s="26" t="s">
        <v>24</v>
      </c>
      <c r="C24" s="27">
        <v>454</v>
      </c>
      <c r="D24" s="28">
        <v>4145</v>
      </c>
      <c r="E24" s="28">
        <v>1901</v>
      </c>
      <c r="F24" s="28">
        <v>0</v>
      </c>
      <c r="G24" s="28">
        <v>0</v>
      </c>
      <c r="H24" s="29">
        <f t="shared" si="0"/>
        <v>3.9196035242290748</v>
      </c>
      <c r="I24" s="30"/>
      <c r="J24" s="36">
        <v>135</v>
      </c>
      <c r="K24" s="37">
        <f t="shared" si="1"/>
        <v>0.2973568281938326</v>
      </c>
      <c r="L24" s="37">
        <f t="shared" si="2"/>
        <v>0.07586400674346726</v>
      </c>
      <c r="M24" s="36">
        <f t="shared" si="3"/>
        <v>6108.011670137176</v>
      </c>
    </row>
    <row r="25" spans="1:13" s="7" customFormat="1" ht="12.75">
      <c r="A25" s="25">
        <v>15</v>
      </c>
      <c r="B25" s="26" t="s">
        <v>25</v>
      </c>
      <c r="C25" s="27">
        <v>878</v>
      </c>
      <c r="D25" s="28">
        <v>4072</v>
      </c>
      <c r="E25" s="28">
        <v>1299</v>
      </c>
      <c r="F25" s="28">
        <v>271</v>
      </c>
      <c r="G25" s="28">
        <v>359</v>
      </c>
      <c r="H25" s="29">
        <f t="shared" si="0"/>
        <v>1.7749430523917997</v>
      </c>
      <c r="I25" s="30"/>
      <c r="J25" s="36">
        <v>1268.2272727272727</v>
      </c>
      <c r="K25" s="37">
        <f t="shared" si="1"/>
        <v>1.4444501967281012</v>
      </c>
      <c r="L25" s="37">
        <f t="shared" si="2"/>
        <v>0.8138008680231472</v>
      </c>
      <c r="M25" s="36">
        <f t="shared" si="3"/>
        <v>2692.7739277717606</v>
      </c>
    </row>
    <row r="26" spans="1:13" s="7" customFormat="1" ht="12.75">
      <c r="A26" s="25">
        <v>16</v>
      </c>
      <c r="B26" s="26" t="s">
        <v>26</v>
      </c>
      <c r="C26" s="27">
        <v>552</v>
      </c>
      <c r="D26" s="28">
        <v>3729</v>
      </c>
      <c r="E26" s="28">
        <v>1894</v>
      </c>
      <c r="F26" s="28">
        <v>19</v>
      </c>
      <c r="G26" s="28">
        <v>228</v>
      </c>
      <c r="H26" s="29">
        <f t="shared" si="0"/>
        <v>3.1337862318840584</v>
      </c>
      <c r="I26" s="30"/>
      <c r="J26" s="36">
        <v>505</v>
      </c>
      <c r="K26" s="37">
        <f t="shared" si="1"/>
        <v>0.9148550724637681</v>
      </c>
      <c r="L26" s="37">
        <f t="shared" si="2"/>
        <v>0.2919328265456542</v>
      </c>
      <c r="M26" s="36">
        <f t="shared" si="3"/>
        <v>5074.247273934027</v>
      </c>
    </row>
    <row r="27" spans="1:13" s="7" customFormat="1" ht="12.75">
      <c r="A27" s="25">
        <v>17</v>
      </c>
      <c r="B27" s="26" t="s">
        <v>27</v>
      </c>
      <c r="C27" s="27">
        <v>415</v>
      </c>
      <c r="D27" s="28">
        <v>3412</v>
      </c>
      <c r="E27" s="28">
        <v>1295</v>
      </c>
      <c r="F27" s="28">
        <v>38</v>
      </c>
      <c r="G27" s="28">
        <v>0</v>
      </c>
      <c r="H27" s="29">
        <f t="shared" si="0"/>
        <v>3.2183132530120484</v>
      </c>
      <c r="I27" s="30"/>
      <c r="J27" s="36">
        <v>169.21428571428572</v>
      </c>
      <c r="K27" s="37">
        <f t="shared" si="1"/>
        <v>0.4077452667814114</v>
      </c>
      <c r="L27" s="37">
        <f t="shared" si="2"/>
        <v>0.12669533222093868</v>
      </c>
      <c r="M27" s="36">
        <f t="shared" si="3"/>
        <v>4427.539051227833</v>
      </c>
    </row>
    <row r="28" spans="1:13" s="7" customFormat="1" ht="12.75">
      <c r="A28" s="25">
        <v>18</v>
      </c>
      <c r="B28" s="26" t="s">
        <v>28</v>
      </c>
      <c r="C28" s="27">
        <v>961</v>
      </c>
      <c r="D28" s="28">
        <v>4253</v>
      </c>
      <c r="E28" s="28">
        <v>2018</v>
      </c>
      <c r="F28" s="28">
        <v>88</v>
      </c>
      <c r="G28" s="28">
        <v>0</v>
      </c>
      <c r="H28" s="29">
        <f t="shared" si="0"/>
        <v>1.9488033298647243</v>
      </c>
      <c r="I28" s="30"/>
      <c r="J28" s="36">
        <v>246.908</v>
      </c>
      <c r="K28" s="37">
        <f t="shared" si="1"/>
        <v>0.2569281997918834</v>
      </c>
      <c r="L28" s="37">
        <f t="shared" si="2"/>
        <v>0.13183895771038015</v>
      </c>
      <c r="M28" s="36">
        <f t="shared" si="3"/>
        <v>6186.116402600355</v>
      </c>
    </row>
    <row r="29" spans="1:13" s="7" customFormat="1" ht="12.75">
      <c r="A29" s="25">
        <v>19</v>
      </c>
      <c r="B29" s="26" t="s">
        <v>29</v>
      </c>
      <c r="C29" s="27">
        <v>1326</v>
      </c>
      <c r="D29" s="28">
        <v>7092</v>
      </c>
      <c r="E29" s="28">
        <v>2393</v>
      </c>
      <c r="F29" s="28">
        <v>739</v>
      </c>
      <c r="G29" s="28">
        <v>0</v>
      </c>
      <c r="H29" s="29">
        <f t="shared" si="0"/>
        <v>2.0556184012066363</v>
      </c>
      <c r="I29" s="30"/>
      <c r="J29" s="36">
        <v>8013</v>
      </c>
      <c r="K29" s="37">
        <f t="shared" si="1"/>
        <v>6.042986425339366</v>
      </c>
      <c r="L29" s="37">
        <f t="shared" si="2"/>
        <v>2.9397413555902046</v>
      </c>
      <c r="M29" s="36">
        <f t="shared" si="3"/>
        <v>0</v>
      </c>
    </row>
    <row r="30" spans="1:13" s="7" customFormat="1" ht="12.75">
      <c r="A30" s="25">
        <v>20</v>
      </c>
      <c r="B30" s="26" t="s">
        <v>30</v>
      </c>
      <c r="C30" s="27">
        <v>33043</v>
      </c>
      <c r="D30" s="28">
        <v>61289</v>
      </c>
      <c r="E30" s="28">
        <v>23307</v>
      </c>
      <c r="F30" s="28">
        <v>14059</v>
      </c>
      <c r="G30" s="28">
        <v>1210</v>
      </c>
      <c r="H30" s="29">
        <f t="shared" si="0"/>
        <v>0.7929561480495113</v>
      </c>
      <c r="I30" s="30"/>
      <c r="J30" s="36">
        <v>111416.465</v>
      </c>
      <c r="K30" s="37">
        <f t="shared" si="1"/>
        <v>3.3718628756468845</v>
      </c>
      <c r="L30" s="37">
        <f t="shared" si="2"/>
        <v>4.252269036491977</v>
      </c>
      <c r="M30" s="36">
        <f t="shared" si="3"/>
        <v>0</v>
      </c>
    </row>
    <row r="31" spans="1:13" s="7" customFormat="1" ht="12.75">
      <c r="A31" s="25">
        <v>21</v>
      </c>
      <c r="B31" s="26" t="s">
        <v>31</v>
      </c>
      <c r="C31" s="27">
        <v>328</v>
      </c>
      <c r="D31" s="28">
        <v>2784</v>
      </c>
      <c r="E31" s="28">
        <v>882</v>
      </c>
      <c r="F31" s="28">
        <v>89</v>
      </c>
      <c r="G31" s="28">
        <v>0</v>
      </c>
      <c r="H31" s="29">
        <f t="shared" si="0"/>
        <v>3.0827743902439027</v>
      </c>
      <c r="I31" s="30"/>
      <c r="J31" s="36">
        <v>238.8235294117647</v>
      </c>
      <c r="K31" s="37">
        <f t="shared" si="1"/>
        <v>0.7281205164992826</v>
      </c>
      <c r="L31" s="37">
        <f t="shared" si="2"/>
        <v>0.2361900107914401</v>
      </c>
      <c r="M31" s="36">
        <f t="shared" si="3"/>
        <v>3096.245127422053</v>
      </c>
    </row>
    <row r="32" spans="1:13" s="7" customFormat="1" ht="12.75">
      <c r="A32" s="25">
        <v>22</v>
      </c>
      <c r="B32" s="26" t="s">
        <v>32</v>
      </c>
      <c r="C32" s="27">
        <v>1611</v>
      </c>
      <c r="D32" s="28">
        <v>6443</v>
      </c>
      <c r="E32" s="28">
        <v>1575</v>
      </c>
      <c r="F32" s="28">
        <v>302</v>
      </c>
      <c r="G32" s="28">
        <v>13</v>
      </c>
      <c r="H32" s="29">
        <f t="shared" si="0"/>
        <v>1.3180322780881442</v>
      </c>
      <c r="I32" s="30"/>
      <c r="J32" s="36">
        <v>2356</v>
      </c>
      <c r="K32" s="37">
        <f t="shared" si="1"/>
        <v>1.462445685909373</v>
      </c>
      <c r="L32" s="37">
        <f t="shared" si="2"/>
        <v>1.1095674288270891</v>
      </c>
      <c r="M32" s="36">
        <f t="shared" si="3"/>
        <v>2218.3349254635336</v>
      </c>
    </row>
    <row r="33" spans="1:13" s="7" customFormat="1" ht="12.75">
      <c r="A33" s="25">
        <v>23</v>
      </c>
      <c r="B33" s="26" t="s">
        <v>33</v>
      </c>
      <c r="C33" s="27">
        <v>426</v>
      </c>
      <c r="D33" s="28">
        <v>3086</v>
      </c>
      <c r="E33" s="28">
        <v>976</v>
      </c>
      <c r="F33" s="28">
        <v>75</v>
      </c>
      <c r="G33" s="28">
        <v>38</v>
      </c>
      <c r="H33" s="29">
        <f t="shared" si="0"/>
        <v>2.634154929577465</v>
      </c>
      <c r="I33" s="30"/>
      <c r="J33" s="36">
        <v>1010.2516917237917</v>
      </c>
      <c r="K33" s="37">
        <f t="shared" si="1"/>
        <v>2.3714828444220464</v>
      </c>
      <c r="L33" s="37">
        <f t="shared" si="2"/>
        <v>0.9002822187085432</v>
      </c>
      <c r="M33" s="36">
        <f t="shared" si="3"/>
        <v>1714.814156863676</v>
      </c>
    </row>
    <row r="34" spans="1:13" s="7" customFormat="1" ht="12.75">
      <c r="A34" s="25">
        <v>24</v>
      </c>
      <c r="B34" s="26" t="s">
        <v>34</v>
      </c>
      <c r="C34" s="27">
        <v>349</v>
      </c>
      <c r="D34" s="28">
        <v>3371</v>
      </c>
      <c r="E34" s="28">
        <v>1929</v>
      </c>
      <c r="F34" s="28">
        <v>62</v>
      </c>
      <c r="G34" s="28">
        <v>30</v>
      </c>
      <c r="H34" s="29">
        <f t="shared" si="0"/>
        <v>4.734957020057307</v>
      </c>
      <c r="I34" s="30"/>
      <c r="J34" s="36">
        <v>260.9056603773585</v>
      </c>
      <c r="K34" s="37">
        <f t="shared" si="1"/>
        <v>0.7475806887603396</v>
      </c>
      <c r="L34" s="37">
        <f t="shared" si="2"/>
        <v>0.15788542231610198</v>
      </c>
      <c r="M34" s="36">
        <f t="shared" si="3"/>
        <v>5359.01517375897</v>
      </c>
    </row>
    <row r="35" spans="1:13" s="7" customFormat="1" ht="12.75">
      <c r="A35" s="25">
        <v>25</v>
      </c>
      <c r="B35" s="26" t="s">
        <v>35</v>
      </c>
      <c r="C35" s="27">
        <v>637</v>
      </c>
      <c r="D35" s="28">
        <v>4316</v>
      </c>
      <c r="E35" s="28">
        <v>1893</v>
      </c>
      <c r="F35" s="28">
        <v>38</v>
      </c>
      <c r="G35" s="28">
        <v>0</v>
      </c>
      <c r="H35" s="29">
        <f t="shared" si="0"/>
        <v>2.8499215070643644</v>
      </c>
      <c r="I35" s="30"/>
      <c r="J35" s="36">
        <v>312.710105439612</v>
      </c>
      <c r="K35" s="37">
        <f t="shared" si="1"/>
        <v>0.49091068357866874</v>
      </c>
      <c r="L35" s="37">
        <f t="shared" si="2"/>
        <v>0.17225410677515257</v>
      </c>
      <c r="M35" s="36">
        <f t="shared" si="3"/>
        <v>5827.043522356459</v>
      </c>
    </row>
    <row r="36" spans="1:13" s="7" customFormat="1" ht="12.75">
      <c r="A36" s="25">
        <v>26</v>
      </c>
      <c r="B36" s="26" t="s">
        <v>36</v>
      </c>
      <c r="C36" s="27">
        <v>1416</v>
      </c>
      <c r="D36" s="28">
        <v>5508</v>
      </c>
      <c r="E36" s="28">
        <v>1748</v>
      </c>
      <c r="F36" s="28">
        <v>197</v>
      </c>
      <c r="G36" s="28">
        <v>0</v>
      </c>
      <c r="H36" s="29">
        <f t="shared" si="0"/>
        <v>1.416066384180791</v>
      </c>
      <c r="I36" s="30"/>
      <c r="J36" s="36">
        <v>911.6669999999999</v>
      </c>
      <c r="K36" s="37">
        <f t="shared" si="1"/>
        <v>0.643832627118644</v>
      </c>
      <c r="L36" s="37">
        <f t="shared" si="2"/>
        <v>0.4546627434356531</v>
      </c>
      <c r="M36" s="36">
        <f t="shared" si="3"/>
        <v>5128.098656017861</v>
      </c>
    </row>
    <row r="37" spans="1:13" s="7" customFormat="1" ht="12.75">
      <c r="A37" s="25">
        <v>27</v>
      </c>
      <c r="B37" s="26" t="s">
        <v>37</v>
      </c>
      <c r="C37" s="27">
        <v>1786</v>
      </c>
      <c r="D37" s="28">
        <v>6084</v>
      </c>
      <c r="E37" s="28">
        <v>5321</v>
      </c>
      <c r="F37" s="28">
        <v>198</v>
      </c>
      <c r="G37" s="28">
        <v>72</v>
      </c>
      <c r="H37" s="29">
        <f t="shared" si="0"/>
        <v>2.1936170212765957</v>
      </c>
      <c r="I37" s="30"/>
      <c r="J37" s="36">
        <v>1909.06764784685</v>
      </c>
      <c r="K37" s="37">
        <f t="shared" si="1"/>
        <v>1.0689068576970044</v>
      </c>
      <c r="L37" s="37">
        <f t="shared" si="2"/>
        <v>0.4872805267871892</v>
      </c>
      <c r="M37" s="36">
        <f t="shared" si="3"/>
        <v>9724.456529621082</v>
      </c>
    </row>
    <row r="38" spans="1:13" s="7" customFormat="1" ht="12.75">
      <c r="A38" s="25">
        <v>28</v>
      </c>
      <c r="B38" s="26" t="s">
        <v>38</v>
      </c>
      <c r="C38" s="27">
        <v>5180</v>
      </c>
      <c r="D38" s="28">
        <v>9839</v>
      </c>
      <c r="E38" s="28">
        <v>2758</v>
      </c>
      <c r="F38" s="28">
        <v>2685</v>
      </c>
      <c r="G38" s="28">
        <v>36</v>
      </c>
      <c r="H38" s="29">
        <f t="shared" si="0"/>
        <v>0.7248938223938225</v>
      </c>
      <c r="I38" s="30"/>
      <c r="J38" s="36">
        <v>4605.682</v>
      </c>
      <c r="K38" s="37">
        <f t="shared" si="1"/>
        <v>0.8891277992277992</v>
      </c>
      <c r="L38" s="37">
        <f t="shared" si="2"/>
        <v>1.2265628037656957</v>
      </c>
      <c r="M38" s="36">
        <f t="shared" si="3"/>
        <v>2908.178658518736</v>
      </c>
    </row>
  </sheetData>
  <sheetProtection autoFilter="0"/>
  <mergeCells count="4">
    <mergeCell ref="A1:H1"/>
    <mergeCell ref="A2:H2"/>
    <mergeCell ref="A3:H3"/>
    <mergeCell ref="C5:H5"/>
  </mergeCells>
  <conditionalFormatting sqref="L11:L38">
    <cfRule type="cellIs" priority="1" dxfId="0" operator="lessThan">
      <formula>$L$10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40"/>
  <sheetViews>
    <sheetView workbookViewId="0" topLeftCell="A1">
      <pane xSplit="2" ySplit="9" topLeftCell="F10" activePane="bottomRight" state="frozen"/>
      <selection pane="topLeft" activeCell="A15" sqref="A15:XFD15"/>
      <selection pane="topRight" activeCell="A15" sqref="A15:XFD15"/>
      <selection pane="bottomLeft" activeCell="A15" sqref="A15:XFD15"/>
      <selection pane="bottomRight" activeCell="T17" sqref="T17"/>
    </sheetView>
  </sheetViews>
  <sheetFormatPr defaultColWidth="9.140625" defaultRowHeight="12.75"/>
  <cols>
    <col min="1" max="1" width="6.00390625" style="8" bestFit="1" customWidth="1"/>
    <col min="2" max="2" width="43.00390625" style="8" customWidth="1"/>
    <col min="3" max="3" width="15.7109375" style="1" customWidth="1"/>
    <col min="4" max="7" width="13.7109375" style="1" customWidth="1"/>
    <col min="8" max="15" width="9.7109375" style="1" customWidth="1"/>
    <col min="16" max="16" width="13.28125" style="9" customWidth="1"/>
    <col min="17" max="18" width="17.28125" style="1" customWidth="1"/>
    <col min="19" max="22" width="12.140625" style="31" customWidth="1"/>
    <col min="23" max="16384" width="9.140625" style="1" customWidth="1"/>
  </cols>
  <sheetData>
    <row r="1" spans="1:16" ht="25.5">
      <c r="A1" s="229" t="s">
        <v>90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ht="30.75">
      <c r="A2" s="229" t="s">
        <v>44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ht="20.25">
      <c r="A3" s="230" t="s">
        <v>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1:22" s="11" customFormat="1" ht="19.5" thickBot="1">
      <c r="A4" s="228" t="s">
        <v>43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S4" s="32"/>
      <c r="T4" s="32"/>
      <c r="U4" s="32"/>
      <c r="V4" s="32"/>
    </row>
    <row r="5" spans="1:23" s="11" customFormat="1" ht="27">
      <c r="A5" s="10"/>
      <c r="B5" s="10"/>
      <c r="C5" s="10"/>
      <c r="D5" s="12" t="s">
        <v>6</v>
      </c>
      <c r="E5" s="12" t="s">
        <v>7</v>
      </c>
      <c r="F5" s="12" t="s">
        <v>8</v>
      </c>
      <c r="G5" s="12" t="s">
        <v>10</v>
      </c>
      <c r="H5" s="10"/>
      <c r="I5" s="10"/>
      <c r="J5" s="10"/>
      <c r="K5" s="10"/>
      <c r="L5" s="10"/>
      <c r="M5" s="10"/>
      <c r="N5" s="10"/>
      <c r="O5" s="10"/>
      <c r="P5" s="55"/>
      <c r="Q5" s="10"/>
      <c r="R5" s="10"/>
      <c r="S5" s="33"/>
      <c r="T5" s="33"/>
      <c r="U5" s="33"/>
      <c r="V5" s="33"/>
      <c r="W5" s="10"/>
    </row>
    <row r="6" spans="1:23" s="11" customFormat="1" ht="19.5" thickBot="1">
      <c r="A6" s="10"/>
      <c r="B6" s="10"/>
      <c r="C6" s="10"/>
      <c r="D6" s="57">
        <v>0.3</v>
      </c>
      <c r="E6" s="57">
        <v>0.4</v>
      </c>
      <c r="F6" s="57">
        <v>0.2</v>
      </c>
      <c r="G6" s="17">
        <f>1-D6-E6-F6</f>
        <v>0.09999999999999992</v>
      </c>
      <c r="H6" s="10"/>
      <c r="I6" s="10"/>
      <c r="J6" s="10"/>
      <c r="K6" s="10"/>
      <c r="L6" s="10"/>
      <c r="M6" s="10"/>
      <c r="N6" s="10"/>
      <c r="O6" s="10"/>
      <c r="P6" s="55"/>
      <c r="Q6" s="10"/>
      <c r="R6" s="10"/>
      <c r="S6" s="33"/>
      <c r="T6" s="33"/>
      <c r="U6" s="33"/>
      <c r="V6" s="33"/>
      <c r="W6" s="10"/>
    </row>
    <row r="7" spans="1:22" s="40" customFormat="1" ht="27.75" customHeight="1">
      <c r="A7" s="224" t="s">
        <v>0</v>
      </c>
      <c r="B7" s="224" t="s">
        <v>5</v>
      </c>
      <c r="C7" s="224" t="s">
        <v>3</v>
      </c>
      <c r="D7" s="224" t="s">
        <v>85</v>
      </c>
      <c r="E7" s="224" t="s">
        <v>86</v>
      </c>
      <c r="F7" s="224" t="s">
        <v>88</v>
      </c>
      <c r="G7" s="224" t="s">
        <v>87</v>
      </c>
      <c r="H7" s="231" t="s">
        <v>79</v>
      </c>
      <c r="I7" s="231"/>
      <c r="J7" s="231"/>
      <c r="K7" s="231"/>
      <c r="L7" s="232" t="s">
        <v>84</v>
      </c>
      <c r="M7" s="233"/>
      <c r="N7" s="233"/>
      <c r="O7" s="234"/>
      <c r="P7" s="235" t="s">
        <v>89</v>
      </c>
      <c r="Q7" s="40" t="s">
        <v>89</v>
      </c>
      <c r="S7" s="34" t="s">
        <v>75</v>
      </c>
      <c r="T7" s="34" t="s">
        <v>76</v>
      </c>
      <c r="U7" s="34" t="s">
        <v>78</v>
      </c>
      <c r="V7" s="34" t="s">
        <v>77</v>
      </c>
    </row>
    <row r="8" spans="1:22" s="40" customFormat="1" ht="86.25" customHeight="1">
      <c r="A8" s="225"/>
      <c r="B8" s="225"/>
      <c r="C8" s="225"/>
      <c r="D8" s="225"/>
      <c r="E8" s="225"/>
      <c r="F8" s="225"/>
      <c r="G8" s="225"/>
      <c r="H8" s="41" t="s">
        <v>80</v>
      </c>
      <c r="I8" s="41" t="s">
        <v>81</v>
      </c>
      <c r="J8" s="41" t="s">
        <v>82</v>
      </c>
      <c r="K8" s="41" t="s">
        <v>83</v>
      </c>
      <c r="L8" s="41" t="s">
        <v>80</v>
      </c>
      <c r="M8" s="41" t="s">
        <v>81</v>
      </c>
      <c r="N8" s="41" t="s">
        <v>82</v>
      </c>
      <c r="O8" s="41" t="s">
        <v>83</v>
      </c>
      <c r="P8" s="236"/>
      <c r="S8" s="34"/>
      <c r="T8" s="34"/>
      <c r="U8" s="34"/>
      <c r="V8" s="34"/>
    </row>
    <row r="9" spans="1:23" s="47" customFormat="1" ht="12.75">
      <c r="A9" s="42">
        <f>COUNT(C10:C40)</f>
        <v>12</v>
      </c>
      <c r="B9" s="43" t="s">
        <v>1</v>
      </c>
      <c r="C9" s="44">
        <f>SUM(C10:C40)</f>
        <v>21354</v>
      </c>
      <c r="D9" s="44">
        <f>SUM(D10:D40)</f>
        <v>80321</v>
      </c>
      <c r="E9" s="44">
        <f>SUM(E10:E40)</f>
        <v>46284</v>
      </c>
      <c r="F9" s="44">
        <f>SUM(F10:F40)</f>
        <v>3820</v>
      </c>
      <c r="G9" s="44">
        <f>SUM(G10:G40)</f>
        <v>2318</v>
      </c>
      <c r="H9" s="56">
        <f>MAX(H10:H40)</f>
        <v>6.352864583333333</v>
      </c>
      <c r="I9" s="56">
        <f>MAX(I10:I40)</f>
        <v>4.5336</v>
      </c>
      <c r="J9" s="56">
        <f>MAX(J10:J40)</f>
        <v>0.38812175204157384</v>
      </c>
      <c r="K9" s="56">
        <f>MAX(K10:K40)</f>
        <v>0.39705882352941174</v>
      </c>
      <c r="L9" s="45"/>
      <c r="M9" s="45"/>
      <c r="N9" s="45"/>
      <c r="O9" s="45"/>
      <c r="P9" s="46"/>
      <c r="S9" s="35">
        <f>SUM(S10:S40)</f>
        <v>23736.69389300016</v>
      </c>
      <c r="T9" s="38">
        <f aca="true" t="shared" si="0" ref="T9:T17">S9/C9</f>
        <v>1.1115806824482608</v>
      </c>
      <c r="U9" s="39">
        <v>1.788712714044186</v>
      </c>
      <c r="V9" s="35" t="e">
        <f>SUM(V10:V40)</f>
        <v>#DIV/0!</v>
      </c>
      <c r="W9" s="48"/>
    </row>
    <row r="10" spans="1:23" s="52" customFormat="1" ht="12.75">
      <c r="A10" s="49">
        <v>1</v>
      </c>
      <c r="B10" s="58" t="s">
        <v>45</v>
      </c>
      <c r="C10" s="59">
        <v>1890</v>
      </c>
      <c r="D10" s="59">
        <v>7306</v>
      </c>
      <c r="E10" s="59">
        <v>5086</v>
      </c>
      <c r="F10" s="59">
        <v>267</v>
      </c>
      <c r="G10" s="59">
        <v>0</v>
      </c>
      <c r="H10" s="53">
        <f>IF($C10=0,,D10/$C10)</f>
        <v>3.8656084656084655</v>
      </c>
      <c r="I10" s="53">
        <f aca="true" t="shared" si="1" ref="I10:K25">IF($C10=0,,E10/$C10)</f>
        <v>2.691005291005291</v>
      </c>
      <c r="J10" s="53">
        <f t="shared" si="1"/>
        <v>0.14126984126984127</v>
      </c>
      <c r="K10" s="53">
        <f t="shared" si="1"/>
        <v>0</v>
      </c>
      <c r="L10" s="50">
        <f>H10/H$9*D$6</f>
        <v>0.18254482280717163</v>
      </c>
      <c r="M10" s="50">
        <f aca="true" t="shared" si="2" ref="M10:O10">I10/I$9*E$6</f>
        <v>0.23742767699005568</v>
      </c>
      <c r="N10" s="50">
        <f t="shared" si="2"/>
        <v>0.07279666265894269</v>
      </c>
      <c r="O10" s="50">
        <f t="shared" si="2"/>
        <v>0</v>
      </c>
      <c r="P10" s="54">
        <f>IF(C10=0,0,L10+M10+N10+O10)</f>
        <v>0.49276916245617</v>
      </c>
      <c r="Q10" s="63">
        <v>1.5660352484604247</v>
      </c>
      <c r="R10" s="51"/>
      <c r="S10" s="36">
        <v>2414.719013071569</v>
      </c>
      <c r="T10" s="37">
        <f t="shared" si="0"/>
        <v>1.2776291074452746</v>
      </c>
      <c r="U10" s="37">
        <f aca="true" t="shared" si="3" ref="U10:U17">T10/P10</f>
        <v>2.5927537776045697</v>
      </c>
      <c r="V10" s="36">
        <f aca="true" t="shared" si="4" ref="V10:V40">IF($T$9*($U$9-U10)*P10*C10&lt;0,0,$T$9*($U$9-U10)*P10*C10)</f>
        <v>0</v>
      </c>
      <c r="W10" s="48"/>
    </row>
    <row r="11" spans="1:23" s="52" customFormat="1" ht="12.75">
      <c r="A11" s="49">
        <v>2</v>
      </c>
      <c r="B11" s="58" t="s">
        <v>46</v>
      </c>
      <c r="C11" s="59">
        <v>1469</v>
      </c>
      <c r="D11" s="59">
        <v>6103</v>
      </c>
      <c r="E11" s="59">
        <v>4906</v>
      </c>
      <c r="F11" s="59">
        <v>121</v>
      </c>
      <c r="G11" s="59">
        <v>0</v>
      </c>
      <c r="H11" s="53">
        <f aca="true" t="shared" si="5" ref="H11:K26">IF($C11=0,,D11/$C11)</f>
        <v>4.154526889040163</v>
      </c>
      <c r="I11" s="53">
        <f t="shared" si="1"/>
        <v>3.3396868618107556</v>
      </c>
      <c r="J11" s="53">
        <f t="shared" si="1"/>
        <v>0.08236895847515316</v>
      </c>
      <c r="K11" s="53">
        <f t="shared" si="1"/>
        <v>0</v>
      </c>
      <c r="L11" s="50">
        <f>H11/H$9*D$6</f>
        <v>0.19618835729347275</v>
      </c>
      <c r="M11" s="50">
        <f aca="true" t="shared" si="6" ref="M11:M40">I11/I$9*E$6</f>
        <v>0.29466091951744805</v>
      </c>
      <c r="N11" s="50">
        <f aca="true" t="shared" si="7" ref="N11:N40">J11/J$9*F$6</f>
        <v>0.0424449070642813</v>
      </c>
      <c r="O11" s="50">
        <f aca="true" t="shared" si="8" ref="O11:O40">K11/K$9*G$6</f>
        <v>0</v>
      </c>
      <c r="P11" s="54">
        <f aca="true" t="shared" si="9" ref="P11:P40">IF(C11=0,0,L11+M11+N11+O11)</f>
        <v>0.5332941838752021</v>
      </c>
      <c r="Q11" s="63">
        <v>1.6028380250932692</v>
      </c>
      <c r="R11" s="51"/>
      <c r="S11" s="36">
        <v>1288.6809186882713</v>
      </c>
      <c r="T11" s="37">
        <f t="shared" si="0"/>
        <v>0.8772504551996401</v>
      </c>
      <c r="U11" s="37">
        <f t="shared" si="3"/>
        <v>1.6449653525659456</v>
      </c>
      <c r="V11" s="36">
        <f>IF($T$9*($U$9-U11)*P11*C11&lt;0,0,$T$9*($U$9-U11)*P11*C11)</f>
        <v>125.17843444669268</v>
      </c>
      <c r="W11" s="48"/>
    </row>
    <row r="12" spans="1:23" s="52" customFormat="1" ht="12.75">
      <c r="A12" s="49">
        <v>3</v>
      </c>
      <c r="B12" s="58" t="s">
        <v>47</v>
      </c>
      <c r="C12" s="59">
        <v>768</v>
      </c>
      <c r="D12" s="59">
        <v>4879</v>
      </c>
      <c r="E12" s="59">
        <v>3324</v>
      </c>
      <c r="F12" s="59">
        <v>111</v>
      </c>
      <c r="G12" s="59">
        <v>0</v>
      </c>
      <c r="H12" s="53">
        <f t="shared" si="5"/>
        <v>6.352864583333333</v>
      </c>
      <c r="I12" s="53">
        <f t="shared" si="1"/>
        <v>4.328125</v>
      </c>
      <c r="J12" s="53">
        <f t="shared" si="1"/>
        <v>0.14453125</v>
      </c>
      <c r="K12" s="53">
        <f t="shared" si="1"/>
        <v>0</v>
      </c>
      <c r="L12" s="50">
        <f aca="true" t="shared" si="10" ref="L12:L40">H12/H$9*D$6</f>
        <v>0.3</v>
      </c>
      <c r="M12" s="50">
        <f t="shared" si="6"/>
        <v>0.38187091935768486</v>
      </c>
      <c r="N12" s="50">
        <f t="shared" si="7"/>
        <v>0.07447727381407805</v>
      </c>
      <c r="O12" s="50">
        <f t="shared" si="8"/>
        <v>0</v>
      </c>
      <c r="P12" s="54">
        <f t="shared" si="9"/>
        <v>0.7563481931717629</v>
      </c>
      <c r="Q12" s="63">
        <v>2.3270636674646026</v>
      </c>
      <c r="R12" s="51"/>
      <c r="S12" s="36">
        <v>286.804</v>
      </c>
      <c r="T12" s="37">
        <f t="shared" si="0"/>
        <v>0.3734427083333333</v>
      </c>
      <c r="U12" s="37">
        <f t="shared" si="3"/>
        <v>0.4937444310765033</v>
      </c>
      <c r="V12" s="36">
        <f t="shared" si="4"/>
        <v>836.1479246657602</v>
      </c>
      <c r="W12" s="48"/>
    </row>
    <row r="13" spans="1:23" s="52" customFormat="1" ht="12.75">
      <c r="A13" s="49">
        <v>4</v>
      </c>
      <c r="B13" s="58" t="s">
        <v>48</v>
      </c>
      <c r="C13" s="59">
        <v>1355</v>
      </c>
      <c r="D13" s="59">
        <v>6055</v>
      </c>
      <c r="E13" s="59">
        <v>3309</v>
      </c>
      <c r="F13" s="59">
        <v>0</v>
      </c>
      <c r="G13" s="59">
        <v>0</v>
      </c>
      <c r="H13" s="53">
        <f t="shared" si="5"/>
        <v>4.468634686346864</v>
      </c>
      <c r="I13" s="53">
        <f t="shared" si="1"/>
        <v>2.4420664206642066</v>
      </c>
      <c r="J13" s="53">
        <f t="shared" si="1"/>
        <v>0</v>
      </c>
      <c r="K13" s="53">
        <f t="shared" si="1"/>
        <v>0</v>
      </c>
      <c r="L13" s="50">
        <f t="shared" si="10"/>
        <v>0.21102140433169037</v>
      </c>
      <c r="M13" s="50">
        <f t="shared" si="6"/>
        <v>0.21546377454245694</v>
      </c>
      <c r="N13" s="50">
        <f t="shared" si="7"/>
        <v>0</v>
      </c>
      <c r="O13" s="50">
        <f t="shared" si="8"/>
        <v>0</v>
      </c>
      <c r="P13" s="54">
        <f t="shared" si="9"/>
        <v>0.4264851788741473</v>
      </c>
      <c r="Q13" s="63">
        <v>1.2420641174617768</v>
      </c>
      <c r="R13" s="51"/>
      <c r="S13" s="36">
        <v>908</v>
      </c>
      <c r="T13" s="37">
        <f t="shared" si="0"/>
        <v>0.6701107011070111</v>
      </c>
      <c r="U13" s="37">
        <f t="shared" si="3"/>
        <v>1.5712403016583045</v>
      </c>
      <c r="V13" s="36">
        <f t="shared" si="4"/>
        <v>139.69742511386625</v>
      </c>
      <c r="W13" s="48"/>
    </row>
    <row r="14" spans="1:23" s="52" customFormat="1" ht="12.75">
      <c r="A14" s="49">
        <v>5</v>
      </c>
      <c r="B14" s="58" t="s">
        <v>49</v>
      </c>
      <c r="C14" s="59">
        <v>1250</v>
      </c>
      <c r="D14" s="59">
        <v>5601</v>
      </c>
      <c r="E14" s="59">
        <v>5667</v>
      </c>
      <c r="F14" s="59">
        <v>82</v>
      </c>
      <c r="G14" s="59">
        <v>0</v>
      </c>
      <c r="H14" s="53">
        <f t="shared" si="5"/>
        <v>4.4808</v>
      </c>
      <c r="I14" s="53">
        <f t="shared" si="1"/>
        <v>4.5336</v>
      </c>
      <c r="J14" s="53">
        <f t="shared" si="1"/>
        <v>0.0656</v>
      </c>
      <c r="K14" s="53">
        <f t="shared" si="1"/>
        <v>0</v>
      </c>
      <c r="L14" s="50">
        <f t="shared" si="10"/>
        <v>0.21159588440254154</v>
      </c>
      <c r="M14" s="50">
        <f t="shared" si="6"/>
        <v>0.4</v>
      </c>
      <c r="N14" s="50">
        <f t="shared" si="7"/>
        <v>0.03380382555470544</v>
      </c>
      <c r="O14" s="50">
        <f t="shared" si="8"/>
        <v>0</v>
      </c>
      <c r="P14" s="54">
        <f t="shared" si="9"/>
        <v>0.6453997099572469</v>
      </c>
      <c r="Q14" s="63">
        <v>1.8743387424486657</v>
      </c>
      <c r="R14" s="51"/>
      <c r="S14" s="36">
        <v>1336.854</v>
      </c>
      <c r="T14" s="37">
        <f t="shared" si="0"/>
        <v>1.0694832</v>
      </c>
      <c r="U14" s="37">
        <f t="shared" si="3"/>
        <v>1.657086582934544</v>
      </c>
      <c r="V14" s="36">
        <f>IF($T$9*($U$9-U14)*P14*C14&lt;0,0,$T$9*($U$9-U14)*P14*C14)</f>
        <v>118.03801185756546</v>
      </c>
      <c r="W14" s="48"/>
    </row>
    <row r="15" spans="1:23" s="52" customFormat="1" ht="12.75">
      <c r="A15" s="49">
        <v>6</v>
      </c>
      <c r="B15" s="58" t="s">
        <v>50</v>
      </c>
      <c r="C15" s="59">
        <v>1192</v>
      </c>
      <c r="D15" s="59">
        <v>6086</v>
      </c>
      <c r="E15" s="59">
        <v>2509</v>
      </c>
      <c r="F15" s="59">
        <v>5</v>
      </c>
      <c r="G15" s="59">
        <v>0</v>
      </c>
      <c r="H15" s="53">
        <f t="shared" si="5"/>
        <v>5.105704697986577</v>
      </c>
      <c r="I15" s="53">
        <f t="shared" si="1"/>
        <v>2.1048657718120807</v>
      </c>
      <c r="J15" s="53">
        <f t="shared" si="1"/>
        <v>0.0041946308724832215</v>
      </c>
      <c r="K15" s="53">
        <f t="shared" si="1"/>
        <v>0</v>
      </c>
      <c r="L15" s="50">
        <f t="shared" si="10"/>
        <v>0.24110562869770596</v>
      </c>
      <c r="M15" s="50">
        <f t="shared" si="6"/>
        <v>0.1857125261877608</v>
      </c>
      <c r="N15" s="50">
        <f t="shared" si="7"/>
        <v>0.00216150259572873</v>
      </c>
      <c r="O15" s="50">
        <f t="shared" si="8"/>
        <v>0</v>
      </c>
      <c r="P15" s="54">
        <f t="shared" si="9"/>
        <v>0.4289796574811955</v>
      </c>
      <c r="Q15" s="63">
        <v>1.2787742574403989</v>
      </c>
      <c r="R15" s="51"/>
      <c r="S15" s="36">
        <v>682.691</v>
      </c>
      <c r="T15" s="37">
        <f t="shared" si="0"/>
        <v>0.5727273489932886</v>
      </c>
      <c r="U15" s="37">
        <f t="shared" si="3"/>
        <v>1.3350920935415087</v>
      </c>
      <c r="V15" s="36">
        <f t="shared" si="4"/>
        <v>257.8378865266992</v>
      </c>
      <c r="W15" s="48"/>
    </row>
    <row r="16" spans="1:23" s="52" customFormat="1" ht="12.75">
      <c r="A16" s="49">
        <v>7</v>
      </c>
      <c r="B16" s="58" t="s">
        <v>51</v>
      </c>
      <c r="C16" s="59">
        <v>1122</v>
      </c>
      <c r="D16" s="59">
        <v>5405</v>
      </c>
      <c r="E16" s="59">
        <v>4837</v>
      </c>
      <c r="F16" s="59">
        <v>30</v>
      </c>
      <c r="G16" s="59">
        <v>0</v>
      </c>
      <c r="H16" s="53">
        <f>IF($C16=0,,D16/$C16)</f>
        <v>4.81729055258467</v>
      </c>
      <c r="I16" s="53">
        <f t="shared" si="1"/>
        <v>4.311051693404635</v>
      </c>
      <c r="J16" s="53">
        <f t="shared" si="1"/>
        <v>0.026737967914438502</v>
      </c>
      <c r="K16" s="53">
        <f t="shared" si="1"/>
        <v>0</v>
      </c>
      <c r="L16" s="50">
        <f t="shared" si="10"/>
        <v>0.22748590762769175</v>
      </c>
      <c r="M16" s="50">
        <f t="shared" si="6"/>
        <v>0.3803645397392479</v>
      </c>
      <c r="N16" s="50">
        <f t="shared" si="7"/>
        <v>0.013778134193094364</v>
      </c>
      <c r="O16" s="50">
        <f t="shared" si="8"/>
        <v>0</v>
      </c>
      <c r="P16" s="54">
        <f t="shared" si="9"/>
        <v>0.621628581560034</v>
      </c>
      <c r="Q16" s="63">
        <v>1.778088379072564</v>
      </c>
      <c r="R16" s="51"/>
      <c r="S16" s="36">
        <v>672.7577984496124</v>
      </c>
      <c r="T16" s="37">
        <f t="shared" si="0"/>
        <v>0.5996058809711341</v>
      </c>
      <c r="U16" s="37">
        <f t="shared" si="3"/>
        <v>0.9645725739739446</v>
      </c>
      <c r="V16" s="36">
        <f t="shared" si="4"/>
        <v>638.948550623582</v>
      </c>
      <c r="W16" s="48"/>
    </row>
    <row r="17" spans="1:23" s="52" customFormat="1" ht="12.75">
      <c r="A17" s="49">
        <v>8</v>
      </c>
      <c r="B17" s="58" t="s">
        <v>52</v>
      </c>
      <c r="C17" s="59">
        <v>6735</v>
      </c>
      <c r="D17" s="59">
        <v>14599</v>
      </c>
      <c r="E17" s="59">
        <v>3936</v>
      </c>
      <c r="F17" s="59">
        <v>2614</v>
      </c>
      <c r="G17" s="59">
        <v>1670</v>
      </c>
      <c r="H17" s="53">
        <f t="shared" si="5"/>
        <v>2.1676317743132887</v>
      </c>
      <c r="I17" s="53">
        <f t="shared" si="1"/>
        <v>0.5844097995545657</v>
      </c>
      <c r="J17" s="53">
        <f t="shared" si="1"/>
        <v>0.38812175204157384</v>
      </c>
      <c r="K17" s="53">
        <f t="shared" si="1"/>
        <v>0.2479584261321455</v>
      </c>
      <c r="L17" s="50">
        <f t="shared" si="10"/>
        <v>0.10236162344779293</v>
      </c>
      <c r="M17" s="50">
        <f t="shared" si="6"/>
        <v>0.05156253745849354</v>
      </c>
      <c r="N17" s="50">
        <f t="shared" si="7"/>
        <v>0.2</v>
      </c>
      <c r="O17" s="50">
        <f t="shared" si="8"/>
        <v>0.06244878880365142</v>
      </c>
      <c r="P17" s="54">
        <f t="shared" si="9"/>
        <v>0.4163729497099379</v>
      </c>
      <c r="Q17" s="63">
        <v>2.0945996431753917</v>
      </c>
      <c r="R17" s="51"/>
      <c r="S17" s="36">
        <v>672.7577984496124</v>
      </c>
      <c r="T17" s="37">
        <f t="shared" si="0"/>
        <v>0.0998897993243671</v>
      </c>
      <c r="U17" s="37">
        <f t="shared" si="3"/>
        <v>0.2399046321187636</v>
      </c>
      <c r="V17" s="36">
        <f t="shared" si="4"/>
        <v>4827.904871475945</v>
      </c>
      <c r="W17" s="48"/>
    </row>
    <row r="18" spans="1:23" s="52" customFormat="1" ht="12.75">
      <c r="A18" s="49">
        <v>9</v>
      </c>
      <c r="B18" s="58" t="s">
        <v>53</v>
      </c>
      <c r="C18" s="59">
        <v>1706</v>
      </c>
      <c r="D18" s="59">
        <v>7024</v>
      </c>
      <c r="E18" s="59">
        <v>2619</v>
      </c>
      <c r="F18" s="59">
        <v>200</v>
      </c>
      <c r="G18" s="59">
        <v>0</v>
      </c>
      <c r="H18" s="53">
        <f t="shared" si="5"/>
        <v>4.117233294255569</v>
      </c>
      <c r="I18" s="53">
        <f t="shared" si="1"/>
        <v>1.5351699882766705</v>
      </c>
      <c r="J18" s="53">
        <f t="shared" si="1"/>
        <v>0.11723329425556858</v>
      </c>
      <c r="K18" s="53">
        <f t="shared" si="1"/>
        <v>0</v>
      </c>
      <c r="L18" s="50">
        <f t="shared" si="10"/>
        <v>0.1944272496405991</v>
      </c>
      <c r="M18" s="50">
        <f t="shared" si="6"/>
        <v>0.13544820789453596</v>
      </c>
      <c r="N18" s="50">
        <f t="shared" si="7"/>
        <v>0.060410576649675175</v>
      </c>
      <c r="O18" s="50">
        <f t="shared" si="8"/>
        <v>0</v>
      </c>
      <c r="P18" s="54">
        <f t="shared" si="9"/>
        <v>0.3902860341848102</v>
      </c>
      <c r="Q18" s="63">
        <v>1.2887642351200461</v>
      </c>
      <c r="R18" s="51"/>
      <c r="S18" s="36">
        <v>672.7577984496124</v>
      </c>
      <c r="T18" s="37">
        <f aca="true" t="shared" si="11" ref="T18:T40">S18/C18</f>
        <v>0.39434806474185957</v>
      </c>
      <c r="U18" s="37">
        <f aca="true" t="shared" si="12" ref="U18:U40">T18/P18</f>
        <v>1.0104078296461048</v>
      </c>
      <c r="V18" s="36">
        <f t="shared" si="4"/>
        <v>576.0401894619962</v>
      </c>
      <c r="W18" s="48"/>
    </row>
    <row r="19" spans="1:23" s="52" customFormat="1" ht="12.75">
      <c r="A19" s="49">
        <v>10</v>
      </c>
      <c r="B19" s="58" t="s">
        <v>54</v>
      </c>
      <c r="C19" s="59">
        <v>1379</v>
      </c>
      <c r="D19" s="59">
        <v>5833</v>
      </c>
      <c r="E19" s="59">
        <v>4538</v>
      </c>
      <c r="F19" s="59">
        <v>0</v>
      </c>
      <c r="G19" s="59">
        <v>0</v>
      </c>
      <c r="H19" s="53">
        <f t="shared" si="5"/>
        <v>4.229876722262509</v>
      </c>
      <c r="I19" s="53">
        <f t="shared" si="1"/>
        <v>3.2907904278462654</v>
      </c>
      <c r="J19" s="53">
        <f t="shared" si="1"/>
        <v>0</v>
      </c>
      <c r="K19" s="53">
        <f t="shared" si="1"/>
        <v>0</v>
      </c>
      <c r="L19" s="50">
        <f t="shared" si="10"/>
        <v>0.19974658676148435</v>
      </c>
      <c r="M19" s="50">
        <f t="shared" si="6"/>
        <v>0.29034678205807884</v>
      </c>
      <c r="N19" s="50">
        <f t="shared" si="7"/>
        <v>0</v>
      </c>
      <c r="O19" s="50">
        <f t="shared" si="8"/>
        <v>0</v>
      </c>
      <c r="P19" s="54">
        <f t="shared" si="9"/>
        <v>0.4900933688195632</v>
      </c>
      <c r="Q19" s="63">
        <v>1.3916889110168116</v>
      </c>
      <c r="R19" s="51"/>
      <c r="S19" s="36">
        <v>672.7577984496124</v>
      </c>
      <c r="T19" s="37">
        <f t="shared" si="11"/>
        <v>0.4878591721897117</v>
      </c>
      <c r="U19" s="37">
        <f t="shared" si="12"/>
        <v>0.9954412836981802</v>
      </c>
      <c r="V19" s="36">
        <f t="shared" si="4"/>
        <v>595.9446108644017</v>
      </c>
      <c r="W19" s="48"/>
    </row>
    <row r="20" spans="1:23" s="52" customFormat="1" ht="12.75">
      <c r="A20" s="49">
        <v>11</v>
      </c>
      <c r="B20" s="58" t="s">
        <v>55</v>
      </c>
      <c r="C20" s="59">
        <v>1360</v>
      </c>
      <c r="D20" s="59">
        <v>6158</v>
      </c>
      <c r="E20" s="59">
        <v>1699</v>
      </c>
      <c r="F20" s="59">
        <v>200</v>
      </c>
      <c r="G20" s="59">
        <v>540</v>
      </c>
      <c r="H20" s="53">
        <f t="shared" si="5"/>
        <v>4.527941176470589</v>
      </c>
      <c r="I20" s="53">
        <f t="shared" si="1"/>
        <v>1.249264705882353</v>
      </c>
      <c r="J20" s="53">
        <f t="shared" si="1"/>
        <v>0.14705882352941177</v>
      </c>
      <c r="K20" s="53">
        <f t="shared" si="1"/>
        <v>0.39705882352941174</v>
      </c>
      <c r="L20" s="50">
        <f t="shared" si="10"/>
        <v>0.21382202235270006</v>
      </c>
      <c r="M20" s="50">
        <f t="shared" si="6"/>
        <v>0.11022275506285098</v>
      </c>
      <c r="N20" s="50">
        <f t="shared" si="7"/>
        <v>0.075779738062019</v>
      </c>
      <c r="O20" s="50">
        <f t="shared" si="8"/>
        <v>0.09999999999999992</v>
      </c>
      <c r="P20" s="54">
        <f t="shared" si="9"/>
        <v>0.49982451547756995</v>
      </c>
      <c r="Q20" s="63">
        <v>2.367195652476223</v>
      </c>
      <c r="R20" s="51"/>
      <c r="S20" s="36">
        <v>672.7577984496124</v>
      </c>
      <c r="T20" s="37">
        <f t="shared" si="11"/>
        <v>0.4946748518011856</v>
      </c>
      <c r="U20" s="37">
        <f t="shared" si="12"/>
        <v>0.9896970566330385</v>
      </c>
      <c r="V20" s="36">
        <f t="shared" si="4"/>
        <v>603.7438816229974</v>
      </c>
      <c r="W20" s="48"/>
    </row>
    <row r="21" spans="1:23" s="52" customFormat="1" ht="12.75">
      <c r="A21" s="49">
        <v>12</v>
      </c>
      <c r="B21" s="58" t="s">
        <v>56</v>
      </c>
      <c r="C21" s="59">
        <v>1128</v>
      </c>
      <c r="D21" s="59">
        <v>5272</v>
      </c>
      <c r="E21" s="59">
        <v>3854</v>
      </c>
      <c r="F21" s="59">
        <v>190</v>
      </c>
      <c r="G21" s="59">
        <v>108</v>
      </c>
      <c r="H21" s="53">
        <f t="shared" si="5"/>
        <v>4.673758865248227</v>
      </c>
      <c r="I21" s="53">
        <f t="shared" si="1"/>
        <v>3.4166666666666665</v>
      </c>
      <c r="J21" s="53">
        <f t="shared" si="1"/>
        <v>0.16843971631205673</v>
      </c>
      <c r="K21" s="53">
        <f t="shared" si="1"/>
        <v>0.09574468085106383</v>
      </c>
      <c r="L21" s="50">
        <f t="shared" si="10"/>
        <v>0.22070794067497265</v>
      </c>
      <c r="M21" s="50">
        <f t="shared" si="6"/>
        <v>0.30145285571436975</v>
      </c>
      <c r="N21" s="50">
        <f t="shared" si="7"/>
        <v>0.08679735955330545</v>
      </c>
      <c r="O21" s="50">
        <f t="shared" si="8"/>
        <v>0.024113475177304947</v>
      </c>
      <c r="P21" s="54">
        <f t="shared" si="9"/>
        <v>0.6330716311199529</v>
      </c>
      <c r="Q21" s="63">
        <v>2.1644468244087434</v>
      </c>
      <c r="R21" s="51"/>
      <c r="S21" s="36">
        <v>672.7577984496124</v>
      </c>
      <c r="T21" s="37">
        <f t="shared" si="11"/>
        <v>0.5964164879872451</v>
      </c>
      <c r="U21" s="37">
        <f t="shared" si="12"/>
        <v>0.9420995329266896</v>
      </c>
      <c r="V21" s="36">
        <f t="shared" si="4"/>
        <v>672.0289293255881</v>
      </c>
      <c r="W21" s="48"/>
    </row>
    <row r="22" spans="1:23" s="52" customFormat="1" ht="12.75">
      <c r="A22" s="49">
        <v>13</v>
      </c>
      <c r="B22" s="58"/>
      <c r="C22" s="59"/>
      <c r="D22" s="59"/>
      <c r="E22" s="59"/>
      <c r="F22" s="59"/>
      <c r="G22" s="59"/>
      <c r="H22" s="53">
        <f t="shared" si="5"/>
        <v>0</v>
      </c>
      <c r="I22" s="53">
        <f t="shared" si="1"/>
        <v>0</v>
      </c>
      <c r="J22" s="53">
        <f t="shared" si="1"/>
        <v>0</v>
      </c>
      <c r="K22" s="53">
        <f t="shared" si="1"/>
        <v>0</v>
      </c>
      <c r="L22" s="50">
        <f t="shared" si="10"/>
        <v>0</v>
      </c>
      <c r="M22" s="50">
        <f t="shared" si="6"/>
        <v>0</v>
      </c>
      <c r="N22" s="50">
        <f t="shared" si="7"/>
        <v>0</v>
      </c>
      <c r="O22" s="50">
        <f t="shared" si="8"/>
        <v>0</v>
      </c>
      <c r="P22" s="54">
        <f t="shared" si="9"/>
        <v>0</v>
      </c>
      <c r="Q22" s="63">
        <v>0</v>
      </c>
      <c r="R22" s="51"/>
      <c r="S22" s="36">
        <v>672.7577984496124</v>
      </c>
      <c r="T22" s="37" t="e">
        <f t="shared" si="11"/>
        <v>#DIV/0!</v>
      </c>
      <c r="U22" s="37" t="e">
        <f t="shared" si="12"/>
        <v>#DIV/0!</v>
      </c>
      <c r="V22" s="36" t="e">
        <f t="shared" si="4"/>
        <v>#DIV/0!</v>
      </c>
      <c r="W22" s="48"/>
    </row>
    <row r="23" spans="1:23" s="52" customFormat="1" ht="12.75">
      <c r="A23" s="49">
        <v>14</v>
      </c>
      <c r="B23" s="58"/>
      <c r="C23" s="59"/>
      <c r="D23" s="59"/>
      <c r="E23" s="59"/>
      <c r="F23" s="59"/>
      <c r="G23" s="59"/>
      <c r="H23" s="53">
        <f t="shared" si="5"/>
        <v>0</v>
      </c>
      <c r="I23" s="53">
        <f t="shared" si="1"/>
        <v>0</v>
      </c>
      <c r="J23" s="53">
        <f t="shared" si="1"/>
        <v>0</v>
      </c>
      <c r="K23" s="53">
        <f t="shared" si="1"/>
        <v>0</v>
      </c>
      <c r="L23" s="50">
        <f t="shared" si="10"/>
        <v>0</v>
      </c>
      <c r="M23" s="50">
        <f t="shared" si="6"/>
        <v>0</v>
      </c>
      <c r="N23" s="50">
        <f t="shared" si="7"/>
        <v>0</v>
      </c>
      <c r="O23" s="50">
        <f t="shared" si="8"/>
        <v>0</v>
      </c>
      <c r="P23" s="54">
        <f t="shared" si="9"/>
        <v>0</v>
      </c>
      <c r="Q23" s="63">
        <v>0</v>
      </c>
      <c r="R23" s="51"/>
      <c r="S23" s="36">
        <v>672.7577984496124</v>
      </c>
      <c r="T23" s="37" t="e">
        <f t="shared" si="11"/>
        <v>#DIV/0!</v>
      </c>
      <c r="U23" s="37" t="e">
        <f t="shared" si="12"/>
        <v>#DIV/0!</v>
      </c>
      <c r="V23" s="36" t="e">
        <f t="shared" si="4"/>
        <v>#DIV/0!</v>
      </c>
      <c r="W23" s="48"/>
    </row>
    <row r="24" spans="1:23" s="52" customFormat="1" ht="12.75">
      <c r="A24" s="49">
        <v>15</v>
      </c>
      <c r="B24" s="58"/>
      <c r="C24" s="59"/>
      <c r="D24" s="59"/>
      <c r="E24" s="59"/>
      <c r="F24" s="59"/>
      <c r="G24" s="59"/>
      <c r="H24" s="53">
        <f t="shared" si="5"/>
        <v>0</v>
      </c>
      <c r="I24" s="53">
        <f t="shared" si="1"/>
        <v>0</v>
      </c>
      <c r="J24" s="53">
        <f t="shared" si="1"/>
        <v>0</v>
      </c>
      <c r="K24" s="53">
        <f t="shared" si="1"/>
        <v>0</v>
      </c>
      <c r="L24" s="50">
        <f t="shared" si="10"/>
        <v>0</v>
      </c>
      <c r="M24" s="50">
        <f t="shared" si="6"/>
        <v>0</v>
      </c>
      <c r="N24" s="50">
        <f t="shared" si="7"/>
        <v>0</v>
      </c>
      <c r="O24" s="50">
        <f t="shared" si="8"/>
        <v>0</v>
      </c>
      <c r="P24" s="54">
        <f t="shared" si="9"/>
        <v>0</v>
      </c>
      <c r="Q24" s="63">
        <v>0</v>
      </c>
      <c r="R24" s="51"/>
      <c r="S24" s="36">
        <v>672.7577984496124</v>
      </c>
      <c r="T24" s="37" t="e">
        <f t="shared" si="11"/>
        <v>#DIV/0!</v>
      </c>
      <c r="U24" s="37" t="e">
        <f t="shared" si="12"/>
        <v>#DIV/0!</v>
      </c>
      <c r="V24" s="36" t="e">
        <f t="shared" si="4"/>
        <v>#DIV/0!</v>
      </c>
      <c r="W24" s="48"/>
    </row>
    <row r="25" spans="1:23" s="52" customFormat="1" ht="12.75">
      <c r="A25" s="49">
        <v>16</v>
      </c>
      <c r="B25" s="58"/>
      <c r="C25" s="59"/>
      <c r="D25" s="59"/>
      <c r="E25" s="59"/>
      <c r="F25" s="59"/>
      <c r="G25" s="59"/>
      <c r="H25" s="53">
        <f t="shared" si="5"/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0">
        <f t="shared" si="10"/>
        <v>0</v>
      </c>
      <c r="M25" s="50">
        <f t="shared" si="6"/>
        <v>0</v>
      </c>
      <c r="N25" s="50">
        <f t="shared" si="7"/>
        <v>0</v>
      </c>
      <c r="O25" s="50">
        <f t="shared" si="8"/>
        <v>0</v>
      </c>
      <c r="P25" s="54">
        <f t="shared" si="9"/>
        <v>0</v>
      </c>
      <c r="Q25" s="63">
        <v>0</v>
      </c>
      <c r="R25" s="51"/>
      <c r="S25" s="36">
        <v>672.7577984496124</v>
      </c>
      <c r="T25" s="37" t="e">
        <f t="shared" si="11"/>
        <v>#DIV/0!</v>
      </c>
      <c r="U25" s="37" t="e">
        <f t="shared" si="12"/>
        <v>#DIV/0!</v>
      </c>
      <c r="V25" s="36" t="e">
        <f t="shared" si="4"/>
        <v>#DIV/0!</v>
      </c>
      <c r="W25" s="48"/>
    </row>
    <row r="26" spans="1:23" s="52" customFormat="1" ht="12.75">
      <c r="A26" s="49">
        <v>17</v>
      </c>
      <c r="B26" s="58"/>
      <c r="C26" s="59"/>
      <c r="D26" s="59"/>
      <c r="E26" s="59"/>
      <c r="F26" s="59"/>
      <c r="G26" s="59"/>
      <c r="H26" s="53">
        <f t="shared" si="5"/>
        <v>0</v>
      </c>
      <c r="I26" s="53">
        <f t="shared" si="5"/>
        <v>0</v>
      </c>
      <c r="J26" s="53">
        <f t="shared" si="5"/>
        <v>0</v>
      </c>
      <c r="K26" s="53">
        <f t="shared" si="5"/>
        <v>0</v>
      </c>
      <c r="L26" s="50">
        <f t="shared" si="10"/>
        <v>0</v>
      </c>
      <c r="M26" s="50">
        <f t="shared" si="6"/>
        <v>0</v>
      </c>
      <c r="N26" s="50">
        <f t="shared" si="7"/>
        <v>0</v>
      </c>
      <c r="O26" s="50">
        <f t="shared" si="8"/>
        <v>0</v>
      </c>
      <c r="P26" s="54">
        <f t="shared" si="9"/>
        <v>0</v>
      </c>
      <c r="Q26" s="63">
        <v>0</v>
      </c>
      <c r="R26" s="51"/>
      <c r="S26" s="36">
        <v>672.7577984496124</v>
      </c>
      <c r="T26" s="37" t="e">
        <f t="shared" si="11"/>
        <v>#DIV/0!</v>
      </c>
      <c r="U26" s="37" t="e">
        <f t="shared" si="12"/>
        <v>#DIV/0!</v>
      </c>
      <c r="V26" s="36" t="e">
        <f t="shared" si="4"/>
        <v>#DIV/0!</v>
      </c>
      <c r="W26" s="48"/>
    </row>
    <row r="27" spans="1:23" s="52" customFormat="1" ht="12.75">
      <c r="A27" s="49">
        <v>18</v>
      </c>
      <c r="B27" s="58"/>
      <c r="C27" s="59"/>
      <c r="D27" s="59"/>
      <c r="E27" s="59"/>
      <c r="F27" s="59"/>
      <c r="G27" s="59"/>
      <c r="H27" s="53">
        <f aca="true" t="shared" si="13" ref="H27:K40">IF($C27=0,,D27/$C27)</f>
        <v>0</v>
      </c>
      <c r="I27" s="53">
        <f t="shared" si="13"/>
        <v>0</v>
      </c>
      <c r="J27" s="53">
        <f t="shared" si="13"/>
        <v>0</v>
      </c>
      <c r="K27" s="53">
        <f t="shared" si="13"/>
        <v>0</v>
      </c>
      <c r="L27" s="50">
        <f t="shared" si="10"/>
        <v>0</v>
      </c>
      <c r="M27" s="50">
        <f t="shared" si="6"/>
        <v>0</v>
      </c>
      <c r="N27" s="50">
        <f t="shared" si="7"/>
        <v>0</v>
      </c>
      <c r="O27" s="50">
        <f t="shared" si="8"/>
        <v>0</v>
      </c>
      <c r="P27" s="54">
        <f t="shared" si="9"/>
        <v>0</v>
      </c>
      <c r="Q27" s="63">
        <v>0</v>
      </c>
      <c r="R27" s="51"/>
      <c r="S27" s="36">
        <v>672.7577984496124</v>
      </c>
      <c r="T27" s="37" t="e">
        <f t="shared" si="11"/>
        <v>#DIV/0!</v>
      </c>
      <c r="U27" s="37" t="e">
        <f t="shared" si="12"/>
        <v>#DIV/0!</v>
      </c>
      <c r="V27" s="36" t="e">
        <f t="shared" si="4"/>
        <v>#DIV/0!</v>
      </c>
      <c r="W27" s="48"/>
    </row>
    <row r="28" spans="1:23" s="52" customFormat="1" ht="12.75">
      <c r="A28" s="49">
        <v>19</v>
      </c>
      <c r="B28" s="58"/>
      <c r="C28" s="59"/>
      <c r="D28" s="59"/>
      <c r="E28" s="59"/>
      <c r="F28" s="59"/>
      <c r="G28" s="59"/>
      <c r="H28" s="53">
        <f t="shared" si="13"/>
        <v>0</v>
      </c>
      <c r="I28" s="53">
        <f t="shared" si="13"/>
        <v>0</v>
      </c>
      <c r="J28" s="53">
        <f t="shared" si="13"/>
        <v>0</v>
      </c>
      <c r="K28" s="53">
        <f t="shared" si="13"/>
        <v>0</v>
      </c>
      <c r="L28" s="50">
        <f t="shared" si="10"/>
        <v>0</v>
      </c>
      <c r="M28" s="50">
        <f t="shared" si="6"/>
        <v>0</v>
      </c>
      <c r="N28" s="50">
        <f t="shared" si="7"/>
        <v>0</v>
      </c>
      <c r="O28" s="50">
        <f t="shared" si="8"/>
        <v>0</v>
      </c>
      <c r="P28" s="54">
        <f t="shared" si="9"/>
        <v>0</v>
      </c>
      <c r="Q28" s="63">
        <v>0</v>
      </c>
      <c r="R28" s="51"/>
      <c r="S28" s="36">
        <v>672.7577984496124</v>
      </c>
      <c r="T28" s="37" t="e">
        <f t="shared" si="11"/>
        <v>#DIV/0!</v>
      </c>
      <c r="U28" s="37" t="e">
        <f t="shared" si="12"/>
        <v>#DIV/0!</v>
      </c>
      <c r="V28" s="36" t="e">
        <f t="shared" si="4"/>
        <v>#DIV/0!</v>
      </c>
      <c r="W28" s="48"/>
    </row>
    <row r="29" spans="1:23" s="52" customFormat="1" ht="12.75">
      <c r="A29" s="49">
        <v>20</v>
      </c>
      <c r="B29" s="58"/>
      <c r="C29" s="59"/>
      <c r="D29" s="59"/>
      <c r="E29" s="59"/>
      <c r="F29" s="59"/>
      <c r="G29" s="59"/>
      <c r="H29" s="53">
        <f t="shared" si="13"/>
        <v>0</v>
      </c>
      <c r="I29" s="53">
        <f t="shared" si="13"/>
        <v>0</v>
      </c>
      <c r="J29" s="53">
        <f t="shared" si="13"/>
        <v>0</v>
      </c>
      <c r="K29" s="53">
        <f t="shared" si="13"/>
        <v>0</v>
      </c>
      <c r="L29" s="50">
        <f t="shared" si="10"/>
        <v>0</v>
      </c>
      <c r="M29" s="50">
        <f t="shared" si="6"/>
        <v>0</v>
      </c>
      <c r="N29" s="50">
        <f t="shared" si="7"/>
        <v>0</v>
      </c>
      <c r="O29" s="50">
        <f t="shared" si="8"/>
        <v>0</v>
      </c>
      <c r="P29" s="54">
        <f t="shared" si="9"/>
        <v>0</v>
      </c>
      <c r="Q29" s="63">
        <v>0</v>
      </c>
      <c r="R29" s="51"/>
      <c r="S29" s="36">
        <v>672.7577984496124</v>
      </c>
      <c r="T29" s="37" t="e">
        <f t="shared" si="11"/>
        <v>#DIV/0!</v>
      </c>
      <c r="U29" s="37" t="e">
        <f t="shared" si="12"/>
        <v>#DIV/0!</v>
      </c>
      <c r="V29" s="36" t="e">
        <f t="shared" si="4"/>
        <v>#DIV/0!</v>
      </c>
      <c r="W29" s="48"/>
    </row>
    <row r="30" spans="1:23" s="52" customFormat="1" ht="12.75">
      <c r="A30" s="49">
        <v>21</v>
      </c>
      <c r="B30" s="58"/>
      <c r="C30" s="59"/>
      <c r="D30" s="59"/>
      <c r="E30" s="59"/>
      <c r="F30" s="59"/>
      <c r="G30" s="59"/>
      <c r="H30" s="53">
        <f t="shared" si="13"/>
        <v>0</v>
      </c>
      <c r="I30" s="53">
        <f t="shared" si="13"/>
        <v>0</v>
      </c>
      <c r="J30" s="53">
        <f t="shared" si="13"/>
        <v>0</v>
      </c>
      <c r="K30" s="53">
        <f t="shared" si="13"/>
        <v>0</v>
      </c>
      <c r="L30" s="50">
        <f t="shared" si="10"/>
        <v>0</v>
      </c>
      <c r="M30" s="50">
        <f t="shared" si="6"/>
        <v>0</v>
      </c>
      <c r="N30" s="50">
        <f t="shared" si="7"/>
        <v>0</v>
      </c>
      <c r="O30" s="50">
        <f t="shared" si="8"/>
        <v>0</v>
      </c>
      <c r="P30" s="54">
        <f t="shared" si="9"/>
        <v>0</v>
      </c>
      <c r="Q30" s="63">
        <v>0</v>
      </c>
      <c r="R30" s="51"/>
      <c r="S30" s="36">
        <v>672.7577984496124</v>
      </c>
      <c r="T30" s="37" t="e">
        <f t="shared" si="11"/>
        <v>#DIV/0!</v>
      </c>
      <c r="U30" s="37" t="e">
        <f t="shared" si="12"/>
        <v>#DIV/0!</v>
      </c>
      <c r="V30" s="36" t="e">
        <f t="shared" si="4"/>
        <v>#DIV/0!</v>
      </c>
      <c r="W30" s="48"/>
    </row>
    <row r="31" spans="1:23" s="52" customFormat="1" ht="12.75">
      <c r="A31" s="49">
        <v>22</v>
      </c>
      <c r="B31" s="58"/>
      <c r="C31" s="59"/>
      <c r="D31" s="59"/>
      <c r="E31" s="59"/>
      <c r="F31" s="59"/>
      <c r="G31" s="59"/>
      <c r="H31" s="53">
        <f t="shared" si="13"/>
        <v>0</v>
      </c>
      <c r="I31" s="53">
        <f t="shared" si="13"/>
        <v>0</v>
      </c>
      <c r="J31" s="53">
        <f t="shared" si="13"/>
        <v>0</v>
      </c>
      <c r="K31" s="53">
        <f t="shared" si="13"/>
        <v>0</v>
      </c>
      <c r="L31" s="50">
        <f t="shared" si="10"/>
        <v>0</v>
      </c>
      <c r="M31" s="50">
        <f t="shared" si="6"/>
        <v>0</v>
      </c>
      <c r="N31" s="50">
        <f t="shared" si="7"/>
        <v>0</v>
      </c>
      <c r="O31" s="50">
        <f t="shared" si="8"/>
        <v>0</v>
      </c>
      <c r="P31" s="54">
        <f t="shared" si="9"/>
        <v>0</v>
      </c>
      <c r="Q31" s="63">
        <v>0</v>
      </c>
      <c r="R31" s="51"/>
      <c r="S31" s="36">
        <v>672.7577984496124</v>
      </c>
      <c r="T31" s="37" t="e">
        <f t="shared" si="11"/>
        <v>#DIV/0!</v>
      </c>
      <c r="U31" s="37" t="e">
        <f t="shared" si="12"/>
        <v>#DIV/0!</v>
      </c>
      <c r="V31" s="36" t="e">
        <f t="shared" si="4"/>
        <v>#DIV/0!</v>
      </c>
      <c r="W31" s="48"/>
    </row>
    <row r="32" spans="1:23" s="52" customFormat="1" ht="12.75">
      <c r="A32" s="49">
        <v>23</v>
      </c>
      <c r="B32" s="58"/>
      <c r="C32" s="59"/>
      <c r="D32" s="59"/>
      <c r="E32" s="59"/>
      <c r="F32" s="59"/>
      <c r="G32" s="59"/>
      <c r="H32" s="53">
        <f t="shared" si="13"/>
        <v>0</v>
      </c>
      <c r="I32" s="53">
        <f t="shared" si="13"/>
        <v>0</v>
      </c>
      <c r="J32" s="53">
        <f t="shared" si="13"/>
        <v>0</v>
      </c>
      <c r="K32" s="53">
        <f t="shared" si="13"/>
        <v>0</v>
      </c>
      <c r="L32" s="50">
        <f t="shared" si="10"/>
        <v>0</v>
      </c>
      <c r="M32" s="50">
        <f t="shared" si="6"/>
        <v>0</v>
      </c>
      <c r="N32" s="50">
        <f t="shared" si="7"/>
        <v>0</v>
      </c>
      <c r="O32" s="50">
        <f t="shared" si="8"/>
        <v>0</v>
      </c>
      <c r="P32" s="54">
        <f t="shared" si="9"/>
        <v>0</v>
      </c>
      <c r="Q32" s="63">
        <v>0</v>
      </c>
      <c r="R32" s="51"/>
      <c r="S32" s="36">
        <v>672.7577984496124</v>
      </c>
      <c r="T32" s="37" t="e">
        <f t="shared" si="11"/>
        <v>#DIV/0!</v>
      </c>
      <c r="U32" s="37" t="e">
        <f t="shared" si="12"/>
        <v>#DIV/0!</v>
      </c>
      <c r="V32" s="36" t="e">
        <f t="shared" si="4"/>
        <v>#DIV/0!</v>
      </c>
      <c r="W32" s="48"/>
    </row>
    <row r="33" spans="1:23" s="52" customFormat="1" ht="12.75">
      <c r="A33" s="49">
        <v>24</v>
      </c>
      <c r="B33" s="58"/>
      <c r="C33" s="59"/>
      <c r="D33" s="59"/>
      <c r="E33" s="59"/>
      <c r="F33" s="59"/>
      <c r="G33" s="59"/>
      <c r="H33" s="53">
        <f t="shared" si="13"/>
        <v>0</v>
      </c>
      <c r="I33" s="53">
        <f t="shared" si="13"/>
        <v>0</v>
      </c>
      <c r="J33" s="53">
        <f t="shared" si="13"/>
        <v>0</v>
      </c>
      <c r="K33" s="53">
        <f t="shared" si="13"/>
        <v>0</v>
      </c>
      <c r="L33" s="50">
        <f t="shared" si="10"/>
        <v>0</v>
      </c>
      <c r="M33" s="50">
        <f t="shared" si="6"/>
        <v>0</v>
      </c>
      <c r="N33" s="50">
        <f t="shared" si="7"/>
        <v>0</v>
      </c>
      <c r="O33" s="50">
        <f t="shared" si="8"/>
        <v>0</v>
      </c>
      <c r="P33" s="54">
        <f t="shared" si="9"/>
        <v>0</v>
      </c>
      <c r="Q33" s="63">
        <v>0</v>
      </c>
      <c r="R33" s="51"/>
      <c r="S33" s="36">
        <v>672.7577984496124</v>
      </c>
      <c r="T33" s="37" t="e">
        <f t="shared" si="11"/>
        <v>#DIV/0!</v>
      </c>
      <c r="U33" s="37" t="e">
        <f t="shared" si="12"/>
        <v>#DIV/0!</v>
      </c>
      <c r="V33" s="36" t="e">
        <f t="shared" si="4"/>
        <v>#DIV/0!</v>
      </c>
      <c r="W33" s="48"/>
    </row>
    <row r="34" spans="1:23" s="52" customFormat="1" ht="12.75">
      <c r="A34" s="49">
        <v>25</v>
      </c>
      <c r="B34" s="58"/>
      <c r="C34" s="59"/>
      <c r="D34" s="59"/>
      <c r="E34" s="59"/>
      <c r="F34" s="59"/>
      <c r="G34" s="59"/>
      <c r="H34" s="53">
        <f t="shared" si="13"/>
        <v>0</v>
      </c>
      <c r="I34" s="53">
        <f t="shared" si="13"/>
        <v>0</v>
      </c>
      <c r="J34" s="53">
        <f t="shared" si="13"/>
        <v>0</v>
      </c>
      <c r="K34" s="53">
        <f t="shared" si="13"/>
        <v>0</v>
      </c>
      <c r="L34" s="50">
        <f t="shared" si="10"/>
        <v>0</v>
      </c>
      <c r="M34" s="50">
        <f t="shared" si="6"/>
        <v>0</v>
      </c>
      <c r="N34" s="50">
        <f t="shared" si="7"/>
        <v>0</v>
      </c>
      <c r="O34" s="50">
        <f t="shared" si="8"/>
        <v>0</v>
      </c>
      <c r="P34" s="54">
        <f t="shared" si="9"/>
        <v>0</v>
      </c>
      <c r="Q34" s="63">
        <v>0</v>
      </c>
      <c r="R34" s="51"/>
      <c r="S34" s="36">
        <v>672.7577984496124</v>
      </c>
      <c r="T34" s="37" t="e">
        <f t="shared" si="11"/>
        <v>#DIV/0!</v>
      </c>
      <c r="U34" s="37" t="e">
        <f t="shared" si="12"/>
        <v>#DIV/0!</v>
      </c>
      <c r="V34" s="36" t="e">
        <f t="shared" si="4"/>
        <v>#DIV/0!</v>
      </c>
      <c r="W34" s="48"/>
    </row>
    <row r="35" spans="1:23" s="52" customFormat="1" ht="12.75">
      <c r="A35" s="49">
        <v>26</v>
      </c>
      <c r="B35" s="58"/>
      <c r="C35" s="59"/>
      <c r="D35" s="59"/>
      <c r="E35" s="59"/>
      <c r="F35" s="59"/>
      <c r="G35" s="59"/>
      <c r="H35" s="53">
        <f t="shared" si="13"/>
        <v>0</v>
      </c>
      <c r="I35" s="53">
        <f t="shared" si="13"/>
        <v>0</v>
      </c>
      <c r="J35" s="53">
        <f t="shared" si="13"/>
        <v>0</v>
      </c>
      <c r="K35" s="53">
        <f t="shared" si="13"/>
        <v>0</v>
      </c>
      <c r="L35" s="50">
        <f t="shared" si="10"/>
        <v>0</v>
      </c>
      <c r="M35" s="50">
        <f t="shared" si="6"/>
        <v>0</v>
      </c>
      <c r="N35" s="50">
        <f t="shared" si="7"/>
        <v>0</v>
      </c>
      <c r="O35" s="50">
        <f t="shared" si="8"/>
        <v>0</v>
      </c>
      <c r="P35" s="54">
        <f t="shared" si="9"/>
        <v>0</v>
      </c>
      <c r="Q35" s="63">
        <v>0</v>
      </c>
      <c r="R35" s="51"/>
      <c r="S35" s="36">
        <v>672.7577984496124</v>
      </c>
      <c r="T35" s="37" t="e">
        <f t="shared" si="11"/>
        <v>#DIV/0!</v>
      </c>
      <c r="U35" s="37" t="e">
        <f t="shared" si="12"/>
        <v>#DIV/0!</v>
      </c>
      <c r="V35" s="36" t="e">
        <f t="shared" si="4"/>
        <v>#DIV/0!</v>
      </c>
      <c r="W35" s="48"/>
    </row>
    <row r="36" spans="1:23" s="52" customFormat="1" ht="12.75">
      <c r="A36" s="49">
        <v>27</v>
      </c>
      <c r="B36" s="58"/>
      <c r="C36" s="59"/>
      <c r="D36" s="59"/>
      <c r="E36" s="59"/>
      <c r="F36" s="59"/>
      <c r="G36" s="59"/>
      <c r="H36" s="53">
        <f t="shared" si="13"/>
        <v>0</v>
      </c>
      <c r="I36" s="53">
        <f t="shared" si="13"/>
        <v>0</v>
      </c>
      <c r="J36" s="53">
        <f t="shared" si="13"/>
        <v>0</v>
      </c>
      <c r="K36" s="53">
        <f t="shared" si="13"/>
        <v>0</v>
      </c>
      <c r="L36" s="50">
        <f t="shared" si="10"/>
        <v>0</v>
      </c>
      <c r="M36" s="50">
        <f t="shared" si="6"/>
        <v>0</v>
      </c>
      <c r="N36" s="50">
        <f t="shared" si="7"/>
        <v>0</v>
      </c>
      <c r="O36" s="50">
        <f t="shared" si="8"/>
        <v>0</v>
      </c>
      <c r="P36" s="54">
        <f t="shared" si="9"/>
        <v>0</v>
      </c>
      <c r="Q36" s="63">
        <v>0</v>
      </c>
      <c r="R36" s="51"/>
      <c r="S36" s="36">
        <v>672.7577984496124</v>
      </c>
      <c r="T36" s="37" t="e">
        <f t="shared" si="11"/>
        <v>#DIV/0!</v>
      </c>
      <c r="U36" s="37" t="e">
        <f t="shared" si="12"/>
        <v>#DIV/0!</v>
      </c>
      <c r="V36" s="36" t="e">
        <f t="shared" si="4"/>
        <v>#DIV/0!</v>
      </c>
      <c r="W36" s="48"/>
    </row>
    <row r="37" spans="1:23" s="52" customFormat="1" ht="12.75">
      <c r="A37" s="49">
        <v>28</v>
      </c>
      <c r="B37" s="58"/>
      <c r="C37" s="59"/>
      <c r="D37" s="59"/>
      <c r="E37" s="59"/>
      <c r="F37" s="59"/>
      <c r="G37" s="59"/>
      <c r="H37" s="53">
        <f t="shared" si="13"/>
        <v>0</v>
      </c>
      <c r="I37" s="53">
        <f t="shared" si="13"/>
        <v>0</v>
      </c>
      <c r="J37" s="53">
        <f t="shared" si="13"/>
        <v>0</v>
      </c>
      <c r="K37" s="53">
        <f t="shared" si="13"/>
        <v>0</v>
      </c>
      <c r="L37" s="50">
        <f t="shared" si="10"/>
        <v>0</v>
      </c>
      <c r="M37" s="50">
        <f t="shared" si="6"/>
        <v>0</v>
      </c>
      <c r="N37" s="50">
        <f t="shared" si="7"/>
        <v>0</v>
      </c>
      <c r="O37" s="50">
        <f t="shared" si="8"/>
        <v>0</v>
      </c>
      <c r="P37" s="54">
        <f t="shared" si="9"/>
        <v>0</v>
      </c>
      <c r="Q37" s="63">
        <v>0</v>
      </c>
      <c r="R37" s="51"/>
      <c r="S37" s="36">
        <v>672.7577984496124</v>
      </c>
      <c r="T37" s="37" t="e">
        <f t="shared" si="11"/>
        <v>#DIV/0!</v>
      </c>
      <c r="U37" s="37" t="e">
        <f t="shared" si="12"/>
        <v>#DIV/0!</v>
      </c>
      <c r="V37" s="36" t="e">
        <f t="shared" si="4"/>
        <v>#DIV/0!</v>
      </c>
      <c r="W37" s="48"/>
    </row>
    <row r="38" spans="1:23" s="52" customFormat="1" ht="12.75">
      <c r="A38" s="49">
        <v>29</v>
      </c>
      <c r="B38" s="58"/>
      <c r="C38" s="59"/>
      <c r="D38" s="59"/>
      <c r="E38" s="59"/>
      <c r="F38" s="59"/>
      <c r="G38" s="59"/>
      <c r="H38" s="53">
        <f t="shared" si="13"/>
        <v>0</v>
      </c>
      <c r="I38" s="53">
        <f t="shared" si="13"/>
        <v>0</v>
      </c>
      <c r="J38" s="53">
        <f t="shared" si="13"/>
        <v>0</v>
      </c>
      <c r="K38" s="53">
        <f t="shared" si="13"/>
        <v>0</v>
      </c>
      <c r="L38" s="50">
        <f t="shared" si="10"/>
        <v>0</v>
      </c>
      <c r="M38" s="50">
        <f t="shared" si="6"/>
        <v>0</v>
      </c>
      <c r="N38" s="50">
        <f t="shared" si="7"/>
        <v>0</v>
      </c>
      <c r="O38" s="50">
        <f t="shared" si="8"/>
        <v>0</v>
      </c>
      <c r="P38" s="54">
        <f t="shared" si="9"/>
        <v>0</v>
      </c>
      <c r="Q38" s="63">
        <v>0</v>
      </c>
      <c r="R38" s="51"/>
      <c r="S38" s="36">
        <v>672.7577984496124</v>
      </c>
      <c r="T38" s="37" t="e">
        <f t="shared" si="11"/>
        <v>#DIV/0!</v>
      </c>
      <c r="U38" s="37" t="e">
        <f t="shared" si="12"/>
        <v>#DIV/0!</v>
      </c>
      <c r="V38" s="36" t="e">
        <f t="shared" si="4"/>
        <v>#DIV/0!</v>
      </c>
      <c r="W38" s="48"/>
    </row>
    <row r="39" spans="1:23" s="52" customFormat="1" ht="12.75">
      <c r="A39" s="49">
        <v>30</v>
      </c>
      <c r="B39" s="58"/>
      <c r="C39" s="59"/>
      <c r="D39" s="59"/>
      <c r="E39" s="59"/>
      <c r="F39" s="59"/>
      <c r="G39" s="59"/>
      <c r="H39" s="53">
        <f t="shared" si="13"/>
        <v>0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0">
        <f t="shared" si="10"/>
        <v>0</v>
      </c>
      <c r="M39" s="50">
        <f t="shared" si="6"/>
        <v>0</v>
      </c>
      <c r="N39" s="50">
        <f t="shared" si="7"/>
        <v>0</v>
      </c>
      <c r="O39" s="50">
        <f t="shared" si="8"/>
        <v>0</v>
      </c>
      <c r="P39" s="54">
        <f t="shared" si="9"/>
        <v>0</v>
      </c>
      <c r="Q39" s="63">
        <v>0</v>
      </c>
      <c r="R39" s="51"/>
      <c r="S39" s="36">
        <v>672.7577984496124</v>
      </c>
      <c r="T39" s="37" t="e">
        <f t="shared" si="11"/>
        <v>#DIV/0!</v>
      </c>
      <c r="U39" s="37" t="e">
        <f t="shared" si="12"/>
        <v>#DIV/0!</v>
      </c>
      <c r="V39" s="36" t="e">
        <f t="shared" si="4"/>
        <v>#DIV/0!</v>
      </c>
      <c r="W39" s="48"/>
    </row>
    <row r="40" spans="1:23" s="52" customFormat="1" ht="12.75">
      <c r="A40" s="49">
        <v>31</v>
      </c>
      <c r="B40" s="58"/>
      <c r="C40" s="59"/>
      <c r="D40" s="59"/>
      <c r="E40" s="59"/>
      <c r="F40" s="59"/>
      <c r="G40" s="59"/>
      <c r="H40" s="53">
        <f t="shared" si="13"/>
        <v>0</v>
      </c>
      <c r="I40" s="53">
        <f t="shared" si="13"/>
        <v>0</v>
      </c>
      <c r="J40" s="53">
        <f t="shared" si="13"/>
        <v>0</v>
      </c>
      <c r="K40" s="53">
        <f t="shared" si="13"/>
        <v>0</v>
      </c>
      <c r="L40" s="50">
        <f t="shared" si="10"/>
        <v>0</v>
      </c>
      <c r="M40" s="50">
        <f t="shared" si="6"/>
        <v>0</v>
      </c>
      <c r="N40" s="50">
        <f t="shared" si="7"/>
        <v>0</v>
      </c>
      <c r="O40" s="50">
        <f t="shared" si="8"/>
        <v>0</v>
      </c>
      <c r="P40" s="54">
        <f t="shared" si="9"/>
        <v>0</v>
      </c>
      <c r="Q40" s="63">
        <v>0</v>
      </c>
      <c r="R40" s="51"/>
      <c r="S40" s="36">
        <v>672.7577984496124</v>
      </c>
      <c r="T40" s="37" t="e">
        <f t="shared" si="11"/>
        <v>#DIV/0!</v>
      </c>
      <c r="U40" s="37" t="e">
        <f t="shared" si="12"/>
        <v>#DIV/0!</v>
      </c>
      <c r="V40" s="36" t="e">
        <f t="shared" si="4"/>
        <v>#DIV/0!</v>
      </c>
      <c r="W40" s="48"/>
    </row>
  </sheetData>
  <sheetProtection autoFilter="0"/>
  <mergeCells count="14">
    <mergeCell ref="G7:G8"/>
    <mergeCell ref="H7:K7"/>
    <mergeCell ref="L7:O7"/>
    <mergeCell ref="P7:P8"/>
    <mergeCell ref="A1:P1"/>
    <mergeCell ref="A2:P2"/>
    <mergeCell ref="A3:P3"/>
    <mergeCell ref="A4:P4"/>
    <mergeCell ref="A7:A8"/>
    <mergeCell ref="B7:B8"/>
    <mergeCell ref="C7:C8"/>
    <mergeCell ref="D7:D8"/>
    <mergeCell ref="E7:E8"/>
    <mergeCell ref="F7:F8"/>
  </mergeCells>
  <conditionalFormatting sqref="H10:H40">
    <cfRule type="cellIs" priority="4" dxfId="0" operator="equal">
      <formula>H$9</formula>
    </cfRule>
  </conditionalFormatting>
  <conditionalFormatting sqref="I10:I40">
    <cfRule type="cellIs" priority="3" dxfId="0" operator="equal">
      <formula>I$9</formula>
    </cfRule>
  </conditionalFormatting>
  <conditionalFormatting sqref="J10:J40">
    <cfRule type="cellIs" priority="2" dxfId="0" operator="equal">
      <formula>J$9</formula>
    </cfRule>
  </conditionalFormatting>
  <conditionalFormatting sqref="K10:K40">
    <cfRule type="cellIs" priority="1" dxfId="0" operator="equal">
      <formula>K$9</formula>
    </cfRule>
  </conditionalFormatting>
  <conditionalFormatting sqref="U10:U16">
    <cfRule type="cellIs" priority="7" dxfId="0" operator="lessThan">
      <formula>'28'!$L$10</formula>
    </cfRule>
  </conditionalFormatting>
  <conditionalFormatting sqref="U17:U21">
    <cfRule type="cellIs" priority="6" dxfId="0" operator="lessThan">
      <formula>'28'!$L$10</formula>
    </cfRule>
  </conditionalFormatting>
  <conditionalFormatting sqref="U22:U40">
    <cfRule type="cellIs" priority="5" dxfId="0" operator="lessThan">
      <formula>'28'!$L$10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Федоренко А.В.</dc:creator>
  <cp:keywords/>
  <dc:description/>
  <cp:lastModifiedBy>comp06</cp:lastModifiedBy>
  <cp:lastPrinted>2022-11-07T08:41:20Z</cp:lastPrinted>
  <dcterms:created xsi:type="dcterms:W3CDTF">2009-04-29T07:26:33Z</dcterms:created>
  <dcterms:modified xsi:type="dcterms:W3CDTF">2023-11-14T01:30:12Z</dcterms:modified>
  <cp:category/>
  <cp:version/>
  <cp:contentType/>
  <cp:contentStatus/>
</cp:coreProperties>
</file>